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ubrov\Documents\БЮДЖЕТ\Бюджет 2025\Составление бюджета\П.9 РАСЧЕТЫ\"/>
    </mc:Choice>
  </mc:AlternateContent>
  <bookViews>
    <workbookView xWindow="-120" yWindow="-120" windowWidth="29040" windowHeight="15720" firstSheet="5" activeTab="5"/>
  </bookViews>
  <sheets>
    <sheet name="Лист1" sheetId="1" state="hidden" r:id="rId1"/>
    <sheet name="Лист2" sheetId="2" state="hidden" r:id="rId2"/>
    <sheet name="Лист3" sheetId="3" state="hidden" r:id="rId3"/>
    <sheet name="Лист4" sheetId="4" state="hidden" r:id="rId4"/>
    <sheet name="Лист5" sheetId="5" state="hidden" r:id="rId5"/>
    <sheet name=" 2023 5-ПМ_15.05 с КГН" sheetId="38" r:id="rId6"/>
    <sheet name="1821010113001" sheetId="41" r:id="rId7"/>
    <sheet name="ПЕРЕПЛАТА" sheetId="40" r:id="rId8"/>
    <sheet name="КГН на 01.08.2023" sheetId="39" r:id="rId9"/>
  </sheets>
  <definedNames>
    <definedName name="_xlnm.Print_Area" localSheetId="5">' 2023 5-ПМ_15.05 с КГН'!$A$1:$N$129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38" l="1"/>
  <c r="F3" i="41"/>
  <c r="E3" i="41"/>
  <c r="K126" i="38" l="1"/>
  <c r="K46" i="38"/>
  <c r="K63" i="38" l="1"/>
  <c r="J54" i="38"/>
  <c r="H9" i="41"/>
  <c r="G9" i="41"/>
  <c r="F9" i="41"/>
  <c r="E7" i="41"/>
  <c r="F7" i="41" s="1"/>
  <c r="K79" i="38"/>
  <c r="K59" i="38"/>
  <c r="J71" i="38" l="1"/>
  <c r="K70" i="38"/>
  <c r="J26" i="38" l="1"/>
  <c r="J21" i="38"/>
  <c r="J17" i="38"/>
  <c r="J15" i="38"/>
  <c r="J13" i="38"/>
  <c r="J11" i="38"/>
  <c r="J79" i="38" l="1"/>
  <c r="J128" i="38" s="1"/>
  <c r="D7" i="41"/>
  <c r="D3" i="41" s="1"/>
  <c r="D11" i="41" s="1"/>
  <c r="J78" i="38" s="1"/>
  <c r="J127" i="38" s="1"/>
  <c r="A19" i="41"/>
  <c r="G4" i="41"/>
  <c r="F4" i="41"/>
  <c r="E4" i="41"/>
  <c r="B19" i="41" l="1"/>
  <c r="E19" i="41"/>
  <c r="F19" i="41"/>
  <c r="H4" i="41"/>
  <c r="E11" i="41"/>
  <c r="K78" i="38" s="1"/>
  <c r="K127" i="38" s="1"/>
  <c r="G7" i="41"/>
  <c r="F11" i="41"/>
  <c r="L78" i="38" s="1"/>
  <c r="L127" i="38" s="1"/>
  <c r="C19" i="41"/>
  <c r="D19" i="41"/>
  <c r="G3" i="41" l="1"/>
  <c r="G11" i="41" s="1"/>
  <c r="M78" i="38" s="1"/>
  <c r="M127" i="38" s="1"/>
  <c r="H7" i="41"/>
  <c r="H3" i="41" s="1"/>
  <c r="H11" i="41" s="1"/>
  <c r="N78" i="38" s="1"/>
  <c r="N127" i="38" s="1"/>
  <c r="J63" i="38" l="1"/>
  <c r="N79" i="38" l="1"/>
  <c r="N128" i="38" s="1"/>
  <c r="N63" i="38"/>
  <c r="N43" i="38"/>
  <c r="N44" i="38" s="1"/>
  <c r="N8" i="38"/>
  <c r="N6" i="38"/>
  <c r="M8" i="38" l="1"/>
  <c r="L8" i="38"/>
  <c r="L59" i="38" l="1"/>
  <c r="M59" i="38" s="1"/>
  <c r="N59" i="38" s="1"/>
  <c r="L56" i="38"/>
  <c r="F65" i="38"/>
  <c r="F66" i="38" s="1"/>
  <c r="G65" i="38"/>
  <c r="G66" i="38" s="1"/>
  <c r="H65" i="38"/>
  <c r="H66" i="38" s="1"/>
  <c r="I65" i="38"/>
  <c r="I71" i="38" s="1"/>
  <c r="I68" i="38" l="1"/>
  <c r="I67" i="38"/>
  <c r="I66" i="38"/>
  <c r="I54" i="38"/>
  <c r="M44" i="38"/>
  <c r="I41" i="38" l="1"/>
  <c r="H41" i="38"/>
  <c r="I36" i="38" l="1"/>
  <c r="I31" i="38" s="1"/>
  <c r="I26" i="38"/>
  <c r="I21" i="38"/>
  <c r="I42" i="38" l="1"/>
  <c r="I17" i="38"/>
  <c r="I15" i="38"/>
  <c r="I13" i="38"/>
  <c r="I11" i="38"/>
  <c r="M79" i="38" l="1"/>
  <c r="M128" i="38" s="1"/>
  <c r="L79" i="38"/>
  <c r="L128" i="38" s="1"/>
  <c r="K128" i="38"/>
  <c r="J70" i="38" l="1"/>
  <c r="I75" i="38" l="1"/>
  <c r="H71" i="38"/>
  <c r="H75" i="38" s="1"/>
  <c r="M63" i="38"/>
  <c r="M6" i="38"/>
  <c r="I123" i="38" l="1"/>
  <c r="E6" i="38"/>
  <c r="E8" i="38"/>
  <c r="E11" i="38"/>
  <c r="E13" i="38"/>
  <c r="E15" i="38"/>
  <c r="E17" i="38"/>
  <c r="E18" i="38"/>
  <c r="E19" i="38"/>
  <c r="E21" i="38"/>
  <c r="E36" i="38"/>
  <c r="E31" i="38" s="1"/>
  <c r="E41" i="38"/>
  <c r="E44" i="38"/>
  <c r="E48" i="38"/>
  <c r="E67" i="38"/>
  <c r="E68" i="38"/>
  <c r="F6" i="38"/>
  <c r="F9" i="38"/>
  <c r="F18" i="38" s="1"/>
  <c r="F11" i="38"/>
  <c r="F13" i="38"/>
  <c r="F15" i="38"/>
  <c r="F17" i="38"/>
  <c r="F21" i="38"/>
  <c r="F26" i="38"/>
  <c r="F36" i="38"/>
  <c r="F31" i="38" s="1"/>
  <c r="F41" i="38"/>
  <c r="F44" i="38"/>
  <c r="F54" i="38"/>
  <c r="F63" i="38"/>
  <c r="F67" i="38"/>
  <c r="E45" i="38" l="1"/>
  <c r="E46" i="38"/>
  <c r="F19" i="38"/>
  <c r="F40" i="38" s="1"/>
  <c r="F74" i="38"/>
  <c r="F71" i="38"/>
  <c r="F75" i="38" s="1"/>
  <c r="F46" i="38"/>
  <c r="F47" i="38" s="1"/>
  <c r="F62" i="38" s="1"/>
  <c r="F42" i="38"/>
  <c r="F68" i="38"/>
  <c r="F55" i="38" l="1"/>
  <c r="F64" i="38" s="1"/>
  <c r="D6" i="38" l="1"/>
  <c r="D8" i="38"/>
  <c r="D11" i="38"/>
  <c r="D13" i="38"/>
  <c r="D15" i="38"/>
  <c r="D17" i="38"/>
  <c r="D18" i="38"/>
  <c r="D20" i="38"/>
  <c r="D36" i="38"/>
  <c r="D31" i="38" s="1"/>
  <c r="D40" i="38" s="1"/>
  <c r="D41" i="38"/>
  <c r="D44" i="38"/>
  <c r="D47" i="38"/>
  <c r="D62" i="38" s="1"/>
  <c r="D54" i="38"/>
  <c r="D63" i="38"/>
  <c r="D67" i="38"/>
  <c r="D68" i="38"/>
  <c r="D70" i="38"/>
  <c r="D71" i="38"/>
  <c r="D42" i="38" l="1"/>
  <c r="D64" i="38"/>
  <c r="H54" i="38" l="1"/>
  <c r="K54" i="38" s="1"/>
  <c r="G54" i="38"/>
  <c r="G41" i="38"/>
  <c r="N54" i="38" l="1"/>
  <c r="M54" i="38"/>
  <c r="L54" i="38"/>
  <c r="H123" i="38"/>
  <c r="H36" i="38"/>
  <c r="H31" i="38" s="1"/>
  <c r="H26" i="38"/>
  <c r="H21" i="38"/>
  <c r="H17" i="38"/>
  <c r="K17" i="38" s="1"/>
  <c r="H15" i="38"/>
  <c r="K15" i="38" s="1"/>
  <c r="H13" i="38"/>
  <c r="K13" i="38" s="1"/>
  <c r="H11" i="38"/>
  <c r="K11" i="38" s="1"/>
  <c r="N17" i="38" l="1"/>
  <c r="L17" i="38"/>
  <c r="M17" i="38"/>
  <c r="L11" i="38"/>
  <c r="M11" i="38"/>
  <c r="N11" i="38"/>
  <c r="M13" i="38"/>
  <c r="L13" i="38"/>
  <c r="N13" i="38"/>
  <c r="N15" i="38"/>
  <c r="M15" i="38"/>
  <c r="L15" i="38"/>
  <c r="G123" i="38"/>
  <c r="G71" i="38"/>
  <c r="G75" i="38" s="1"/>
  <c r="J76" i="38" s="1"/>
  <c r="K8" i="38"/>
  <c r="G72" i="38" l="1"/>
  <c r="I70" i="38"/>
  <c r="H70" i="38"/>
  <c r="G70" i="38"/>
  <c r="H68" i="38"/>
  <c r="G68" i="38"/>
  <c r="H67" i="38"/>
  <c r="G67" i="38"/>
  <c r="L63" i="38"/>
  <c r="I63" i="38"/>
  <c r="H63" i="38"/>
  <c r="G63" i="38"/>
  <c r="K44" i="38"/>
  <c r="J44" i="38"/>
  <c r="J45" i="38" s="1"/>
  <c r="I44" i="38"/>
  <c r="I45" i="38" s="1"/>
  <c r="H44" i="38"/>
  <c r="G44" i="38"/>
  <c r="G45" i="38" s="1"/>
  <c r="G36" i="38"/>
  <c r="G31" i="38" s="1"/>
  <c r="F45" i="38"/>
  <c r="G26" i="38"/>
  <c r="G21" i="38"/>
  <c r="G17" i="38"/>
  <c r="G15" i="38"/>
  <c r="G13" i="38"/>
  <c r="G11" i="38"/>
  <c r="G9" i="38"/>
  <c r="G19" i="38" s="1"/>
  <c r="J8" i="38"/>
  <c r="I8" i="38"/>
  <c r="H8" i="38"/>
  <c r="G8" i="38"/>
  <c r="L6" i="38"/>
  <c r="K6" i="38"/>
  <c r="J6" i="38"/>
  <c r="I6" i="38"/>
  <c r="H6" i="38"/>
  <c r="G6" i="38"/>
  <c r="N14" i="38" l="1"/>
  <c r="N10" i="38"/>
  <c r="M16" i="38"/>
  <c r="N16" i="38"/>
  <c r="N12" i="38"/>
  <c r="L57" i="38"/>
  <c r="L44" i="38"/>
  <c r="H45" i="38"/>
  <c r="G42" i="38"/>
  <c r="G18" i="38"/>
  <c r="G40" i="38"/>
  <c r="G46" i="38"/>
  <c r="G47" i="38" s="1"/>
  <c r="N9" i="38" l="1"/>
  <c r="N19" i="38" s="1"/>
  <c r="N21" i="38" s="1"/>
  <c r="G62" i="38"/>
  <c r="G55" i="38"/>
  <c r="L14" i="38"/>
  <c r="K14" i="38"/>
  <c r="K10" i="38"/>
  <c r="L10" i="38"/>
  <c r="K16" i="38"/>
  <c r="L16" i="38"/>
  <c r="M10" i="38" l="1"/>
  <c r="M14" i="38"/>
  <c r="G64" i="38"/>
  <c r="I73" i="38" l="1"/>
  <c r="G124" i="38"/>
  <c r="M56" i="38"/>
  <c r="N56" i="38" s="1"/>
  <c r="H72" i="38"/>
  <c r="H73" i="38"/>
  <c r="G122" i="38"/>
  <c r="G129" i="38" s="1"/>
  <c r="I72" i="38"/>
  <c r="M16" i="5" l="1"/>
  <c r="E21" i="5" l="1"/>
  <c r="C21" i="5"/>
  <c r="B21" i="5"/>
  <c r="E19" i="5"/>
  <c r="C19" i="5"/>
  <c r="B19" i="5"/>
  <c r="E17" i="5"/>
  <c r="C17" i="5"/>
  <c r="B17" i="5"/>
  <c r="E12" i="5"/>
  <c r="C12" i="5"/>
  <c r="J12" i="5" s="1"/>
  <c r="J13" i="5" s="1"/>
  <c r="B12" i="5"/>
  <c r="E11" i="5"/>
  <c r="C11" i="5"/>
  <c r="B11" i="5"/>
  <c r="F11" i="5" s="1"/>
  <c r="E8" i="5"/>
  <c r="C8" i="5"/>
  <c r="B8" i="5"/>
  <c r="F7" i="5"/>
  <c r="D7" i="5"/>
  <c r="H4" i="5"/>
  <c r="H5" i="5" s="1"/>
  <c r="F4" i="5"/>
  <c r="F5" i="5" s="1"/>
  <c r="D4" i="5"/>
  <c r="D5" i="5" s="1"/>
  <c r="F8" i="5" l="1"/>
  <c r="G7" i="5" s="1"/>
  <c r="E13" i="5"/>
  <c r="K12" i="5"/>
  <c r="K13" i="5" s="1"/>
  <c r="C13" i="5"/>
  <c r="D13" i="5" s="1"/>
  <c r="F21" i="5"/>
  <c r="G21" i="5" s="1"/>
  <c r="B13" i="5"/>
  <c r="I12" i="5"/>
  <c r="I13" i="5" s="1"/>
  <c r="F17" i="5"/>
  <c r="G16" i="5" s="1"/>
  <c r="F19" i="5"/>
  <c r="G18" i="5" s="1"/>
  <c r="G10" i="5"/>
  <c r="E22" i="5"/>
  <c r="G12" i="5"/>
  <c r="L12" i="5" s="1"/>
  <c r="L13" i="5" s="1"/>
  <c r="L14" i="5" s="1"/>
  <c r="L15" i="5" s="1"/>
  <c r="M15" i="5" s="1"/>
  <c r="B12" i="4"/>
  <c r="B13" i="4" s="1"/>
  <c r="C12" i="4"/>
  <c r="C13" i="4" s="1"/>
  <c r="F13" i="5" l="1"/>
  <c r="D13" i="4"/>
  <c r="H12" i="5"/>
  <c r="G13" i="5"/>
  <c r="E12" i="4"/>
  <c r="E13" i="4" s="1"/>
  <c r="F13" i="4" s="1"/>
  <c r="E19" i="4"/>
  <c r="C19" i="4"/>
  <c r="B19" i="4"/>
  <c r="E17" i="4"/>
  <c r="C17" i="4"/>
  <c r="B17" i="4"/>
  <c r="B21" i="4"/>
  <c r="E21" i="4"/>
  <c r="C21" i="4"/>
  <c r="E11" i="4"/>
  <c r="C11" i="4"/>
  <c r="B11" i="4"/>
  <c r="E8" i="4"/>
  <c r="C8" i="4"/>
  <c r="B8" i="4"/>
  <c r="F7" i="4"/>
  <c r="D7" i="4"/>
  <c r="F4" i="4"/>
  <c r="F5" i="4" s="1"/>
  <c r="H4" i="4"/>
  <c r="H5" i="4" s="1"/>
  <c r="D4" i="4"/>
  <c r="D5" i="4" s="1"/>
  <c r="J68" i="3"/>
  <c r="J67" i="3"/>
  <c r="J66" i="3"/>
  <c r="L73" i="3"/>
  <c r="L72" i="3"/>
  <c r="L78" i="3"/>
  <c r="L77" i="3"/>
  <c r="L74" i="3"/>
  <c r="M72" i="3"/>
  <c r="L75" i="3" l="1"/>
  <c r="G22" i="5"/>
  <c r="G24" i="5" s="1"/>
  <c r="G25" i="5" s="1"/>
  <c r="G27" i="5" s="1"/>
  <c r="G29" i="5" s="1"/>
  <c r="G33" i="5" s="1"/>
  <c r="G14" i="5"/>
  <c r="H13" i="5"/>
  <c r="F21" i="4"/>
  <c r="E22" i="4"/>
  <c r="F11" i="4"/>
  <c r="F8" i="4"/>
  <c r="G7" i="4" s="1"/>
  <c r="F19" i="4"/>
  <c r="F17" i="4"/>
  <c r="J31" i="3"/>
  <c r="G18" i="4" l="1"/>
  <c r="L76" i="3"/>
  <c r="M76" i="3" s="1"/>
  <c r="M80" i="3"/>
  <c r="G21" i="4"/>
  <c r="G10" i="4"/>
  <c r="G12" i="4" s="1"/>
  <c r="G16" i="4"/>
  <c r="L35" i="3"/>
  <c r="J36" i="3"/>
  <c r="J34" i="3" s="1"/>
  <c r="G13" i="4" l="1"/>
  <c r="H12" i="4"/>
  <c r="C58" i="3"/>
  <c r="C59" i="3" s="1"/>
  <c r="C56" i="3"/>
  <c r="I57" i="3"/>
  <c r="F58" i="3"/>
  <c r="H60" i="3" s="1"/>
  <c r="F56" i="3"/>
  <c r="I46" i="3"/>
  <c r="J46" i="3" s="1"/>
  <c r="E46" i="3"/>
  <c r="G4" i="3"/>
  <c r="D41" i="3"/>
  <c r="C39" i="3"/>
  <c r="E37" i="3"/>
  <c r="F35" i="3"/>
  <c r="H35" i="3" s="1"/>
  <c r="F31" i="3"/>
  <c r="F34" i="3" s="1"/>
  <c r="C29" i="3"/>
  <c r="E26" i="3"/>
  <c r="C23" i="3"/>
  <c r="D23" i="3" s="1"/>
  <c r="E23" i="3" s="1"/>
  <c r="H21" i="3"/>
  <c r="D19" i="3"/>
  <c r="E19" i="3" s="1"/>
  <c r="C16" i="3"/>
  <c r="E16" i="3" s="1"/>
  <c r="C12" i="3"/>
  <c r="D12" i="3" s="1"/>
  <c r="H11" i="3"/>
  <c r="H8" i="3"/>
  <c r="H31" i="3" s="1"/>
  <c r="C7" i="3"/>
  <c r="E6" i="3"/>
  <c r="C5" i="3"/>
  <c r="I4" i="3"/>
  <c r="E4" i="3"/>
  <c r="H22" i="2"/>
  <c r="H12" i="2"/>
  <c r="I5" i="2"/>
  <c r="H9" i="2"/>
  <c r="H32" i="2" s="1"/>
  <c r="F36" i="2"/>
  <c r="H36" i="2" s="1"/>
  <c r="F32" i="2"/>
  <c r="F35" i="2" s="1"/>
  <c r="F6" i="2" l="1"/>
  <c r="F37" i="2"/>
  <c r="F39" i="2" s="1"/>
  <c r="F17" i="2"/>
  <c r="G17" i="2" s="1"/>
  <c r="F23" i="3"/>
  <c r="H20" i="3" s="1"/>
  <c r="F16" i="3"/>
  <c r="G16" i="3" s="1"/>
  <c r="F5" i="3"/>
  <c r="F46" i="2"/>
  <c r="F48" i="2"/>
  <c r="F40" i="2"/>
  <c r="F47" i="2"/>
  <c r="F44" i="2"/>
  <c r="F45" i="2" s="1"/>
  <c r="F13" i="2"/>
  <c r="H11" i="2" s="1"/>
  <c r="F24" i="2"/>
  <c r="H21" i="2" s="1"/>
  <c r="H13" i="4"/>
  <c r="G22" i="4"/>
  <c r="G24" i="4" s="1"/>
  <c r="G25" i="4" s="1"/>
  <c r="G27" i="4" s="1"/>
  <c r="G29" i="4" s="1"/>
  <c r="G33" i="4" s="1"/>
  <c r="G14" i="4"/>
  <c r="F12" i="3"/>
  <c r="H10" i="3" s="1"/>
  <c r="H61" i="3"/>
  <c r="H59" i="3" s="1"/>
  <c r="I60" i="3"/>
  <c r="D8" i="3"/>
  <c r="D17" i="3" s="1"/>
  <c r="F59" i="3"/>
  <c r="H14" i="3"/>
  <c r="H16" i="3" s="1"/>
  <c r="J14" i="3" s="1"/>
  <c r="F36" i="3"/>
  <c r="F38" i="3" s="1"/>
  <c r="F45" i="3" s="1"/>
  <c r="G45" i="3" s="1"/>
  <c r="F8" i="3"/>
  <c r="E12" i="3"/>
  <c r="G19" i="3"/>
  <c r="C40" i="2"/>
  <c r="E7" i="2"/>
  <c r="E27" i="2"/>
  <c r="E38" i="2"/>
  <c r="E5" i="2"/>
  <c r="C17" i="2"/>
  <c r="E17" i="2" s="1"/>
  <c r="C13" i="2"/>
  <c r="C30" i="2"/>
  <c r="C8" i="2"/>
  <c r="C6" i="2"/>
  <c r="F9" i="2" s="1"/>
  <c r="I9" i="2" s="1"/>
  <c r="C24" i="2"/>
  <c r="D24" i="2" s="1"/>
  <c r="E24" i="2" s="1"/>
  <c r="D20" i="2"/>
  <c r="G20" i="2" s="1"/>
  <c r="J18" i="1"/>
  <c r="K16" i="1" s="1"/>
  <c r="J34" i="1"/>
  <c r="J32" i="1"/>
  <c r="J15" i="1" s="1"/>
  <c r="K7" i="1"/>
  <c r="K13" i="1" s="1"/>
  <c r="K29" i="1"/>
  <c r="J27" i="1"/>
  <c r="J26" i="1"/>
  <c r="J31" i="1" s="1"/>
  <c r="J8" i="1"/>
  <c r="J7" i="1"/>
  <c r="J5" i="1" s="1"/>
  <c r="J25" i="1"/>
  <c r="J24" i="1"/>
  <c r="I20" i="3" l="1"/>
  <c r="H23" i="3"/>
  <c r="J20" i="3" s="1"/>
  <c r="J6" i="1"/>
  <c r="K8" i="1" s="1"/>
  <c r="J33" i="1"/>
  <c r="J35" i="1" s="1"/>
  <c r="J36" i="1" s="1"/>
  <c r="H15" i="2"/>
  <c r="J11" i="1"/>
  <c r="F50" i="2"/>
  <c r="F51" i="2" s="1"/>
  <c r="L4" i="1"/>
  <c r="I59" i="3"/>
  <c r="I15" i="2"/>
  <c r="H17" i="2"/>
  <c r="H16" i="2"/>
  <c r="J22" i="1"/>
  <c r="K19" i="1" s="1"/>
  <c r="K26" i="1" s="1"/>
  <c r="H13" i="2"/>
  <c r="I11" i="2"/>
  <c r="E20" i="2"/>
  <c r="I21" i="2"/>
  <c r="H24" i="2"/>
  <c r="K9" i="1"/>
  <c r="L9" i="1" s="1"/>
  <c r="D9" i="2"/>
  <c r="D11" i="2" s="1"/>
  <c r="J15" i="3"/>
  <c r="H12" i="3"/>
  <c r="J10" i="3" s="1"/>
  <c r="I10" i="3"/>
  <c r="F44" i="3"/>
  <c r="I14" i="3"/>
  <c r="F39" i="3"/>
  <c r="G12" i="3"/>
  <c r="H15" i="3"/>
  <c r="I15" i="3" s="1"/>
  <c r="D14" i="3"/>
  <c r="G14" i="3" s="1"/>
  <c r="F46" i="3"/>
  <c r="D20" i="3"/>
  <c r="D24" i="3" s="1"/>
  <c r="D10" i="3"/>
  <c r="G10" i="3" s="1"/>
  <c r="E45" i="3"/>
  <c r="I45" i="3"/>
  <c r="J45" i="3" s="1"/>
  <c r="G8" i="3"/>
  <c r="F7" i="3"/>
  <c r="I8" i="3"/>
  <c r="E20" i="3"/>
  <c r="D11" i="3"/>
  <c r="D18" i="3"/>
  <c r="E17" i="3"/>
  <c r="G17" i="3"/>
  <c r="D13" i="2"/>
  <c r="E13" i="2" s="1"/>
  <c r="H18" i="1"/>
  <c r="E18" i="1"/>
  <c r="E19" i="1" s="1"/>
  <c r="H23" i="1"/>
  <c r="H21" i="1"/>
  <c r="H19" i="1"/>
  <c r="H17" i="1"/>
  <c r="H15" i="1"/>
  <c r="H12" i="1"/>
  <c r="E23" i="1"/>
  <c r="F31" i="1"/>
  <c r="D31" i="1"/>
  <c r="E21" i="1"/>
  <c r="E38" i="1"/>
  <c r="E17" i="1"/>
  <c r="C38" i="1"/>
  <c r="E15" i="1"/>
  <c r="E12" i="1"/>
  <c r="E10" i="1"/>
  <c r="F8" i="1"/>
  <c r="F18" i="1" s="1"/>
  <c r="E9" i="1"/>
  <c r="D20" i="1"/>
  <c r="D16" i="1"/>
  <c r="D8" i="1"/>
  <c r="D37" i="1" s="1"/>
  <c r="D34" i="1"/>
  <c r="C24" i="1"/>
  <c r="C23" i="1"/>
  <c r="C21" i="1"/>
  <c r="C18" i="1"/>
  <c r="C19" i="1" s="1"/>
  <c r="C17" i="1"/>
  <c r="C15" i="1"/>
  <c r="C12" i="1"/>
  <c r="C10" i="1"/>
  <c r="C9" i="1"/>
  <c r="D12" i="2" l="1"/>
  <c r="D14" i="2"/>
  <c r="F48" i="3"/>
  <c r="F49" i="3" s="1"/>
  <c r="H33" i="3"/>
  <c r="H34" i="3" s="1"/>
  <c r="H36" i="3" s="1"/>
  <c r="H38" i="3" s="1"/>
  <c r="H39" i="3" s="1"/>
  <c r="D10" i="1"/>
  <c r="E10" i="3"/>
  <c r="D13" i="3"/>
  <c r="E13" i="3" s="1"/>
  <c r="I16" i="2"/>
  <c r="H34" i="2"/>
  <c r="H35" i="2" s="1"/>
  <c r="H37" i="2" s="1"/>
  <c r="H39" i="2" s="1"/>
  <c r="F20" i="1"/>
  <c r="J11" i="3"/>
  <c r="D15" i="2"/>
  <c r="D18" i="2"/>
  <c r="D21" i="2"/>
  <c r="G13" i="2"/>
  <c r="F10" i="1"/>
  <c r="F22" i="1"/>
  <c r="F24" i="1" s="1"/>
  <c r="E26" i="1"/>
  <c r="E25" i="1" s="1"/>
  <c r="G14" i="2"/>
  <c r="E14" i="2"/>
  <c r="G11" i="2"/>
  <c r="E11" i="2"/>
  <c r="F11" i="1"/>
  <c r="F16" i="1"/>
  <c r="G12" i="2"/>
  <c r="E12" i="2"/>
  <c r="F37" i="1"/>
  <c r="F13" i="1" s="1"/>
  <c r="F15" i="1" s="1"/>
  <c r="F42" i="3"/>
  <c r="D15" i="3"/>
  <c r="E15" i="3" s="1"/>
  <c r="G44" i="3"/>
  <c r="E44" i="3" s="1"/>
  <c r="E14" i="3"/>
  <c r="G20" i="3"/>
  <c r="D21" i="3"/>
  <c r="E21" i="3" s="1"/>
  <c r="I44" i="3"/>
  <c r="J44" i="3" s="1"/>
  <c r="H46" i="3"/>
  <c r="G18" i="3"/>
  <c r="E18" i="3"/>
  <c r="E11" i="3"/>
  <c r="G11" i="3"/>
  <c r="D25" i="3"/>
  <c r="E25" i="3" s="1"/>
  <c r="D28" i="3"/>
  <c r="D29" i="3" s="1"/>
  <c r="E29" i="3" s="1"/>
  <c r="E24" i="3"/>
  <c r="H45" i="3"/>
  <c r="D22" i="3"/>
  <c r="E22" i="3" s="1"/>
  <c r="K10" i="1"/>
  <c r="K17" i="1"/>
  <c r="K12" i="1"/>
  <c r="D18" i="1"/>
  <c r="D19" i="1" s="1"/>
  <c r="D22" i="1"/>
  <c r="D24" i="1" s="1"/>
  <c r="D32" i="1" s="1"/>
  <c r="D11" i="1"/>
  <c r="D13" i="1" s="1"/>
  <c r="D15" i="1" s="1"/>
  <c r="I38" i="3" l="1"/>
  <c r="F26" i="1"/>
  <c r="F33" i="1" s="1"/>
  <c r="H44" i="3"/>
  <c r="G13" i="3"/>
  <c r="G15" i="3"/>
  <c r="K15" i="3" s="1"/>
  <c r="L14" i="3" s="1"/>
  <c r="L15" i="3" s="1"/>
  <c r="G21" i="2"/>
  <c r="D22" i="2"/>
  <c r="E21" i="2"/>
  <c r="D25" i="2"/>
  <c r="G21" i="3"/>
  <c r="K21" i="3" s="1"/>
  <c r="L20" i="3" s="1"/>
  <c r="L21" i="3" s="1"/>
  <c r="K11" i="3"/>
  <c r="L10" i="3" s="1"/>
  <c r="L11" i="3" s="1"/>
  <c r="G18" i="2"/>
  <c r="D19" i="2"/>
  <c r="E18" i="2"/>
  <c r="D16" i="2"/>
  <c r="G15" i="2"/>
  <c r="E15" i="2"/>
  <c r="H47" i="2"/>
  <c r="H48" i="2"/>
  <c r="H40" i="2"/>
  <c r="H46" i="2"/>
  <c r="H48" i="3"/>
  <c r="H42" i="3"/>
  <c r="I42" i="3" s="1"/>
  <c r="D35" i="3"/>
  <c r="D30" i="3"/>
  <c r="D31" i="3" s="1"/>
  <c r="K27" i="1"/>
  <c r="K30" i="1"/>
  <c r="K31" i="1" s="1"/>
  <c r="K32" i="1" s="1"/>
  <c r="L5" i="1" s="1"/>
  <c r="K14" i="1"/>
  <c r="K24" i="1"/>
  <c r="K21" i="1"/>
  <c r="K34" i="1" s="1"/>
  <c r="K20" i="1"/>
  <c r="D26" i="1"/>
  <c r="D33" i="1"/>
  <c r="D27" i="1"/>
  <c r="H50" i="2" l="1"/>
  <c r="G16" i="2"/>
  <c r="E16" i="2"/>
  <c r="G22" i="2"/>
  <c r="E22" i="2"/>
  <c r="D23" i="2"/>
  <c r="G19" i="2"/>
  <c r="E19" i="2"/>
  <c r="E25" i="2"/>
  <c r="D26" i="2"/>
  <c r="E26" i="2" s="1"/>
  <c r="D29" i="2"/>
  <c r="D30" i="2" s="1"/>
  <c r="E30" i="2" s="1"/>
  <c r="J49" i="3"/>
  <c r="I64" i="3"/>
  <c r="I63" i="3"/>
  <c r="G35" i="3"/>
  <c r="E35" i="3"/>
  <c r="D7" i="3"/>
  <c r="E7" i="3" s="1"/>
  <c r="D5" i="3"/>
  <c r="D33" i="3"/>
  <c r="D32" i="3"/>
  <c r="E32" i="3" s="1"/>
  <c r="G31" i="3"/>
  <c r="E31" i="3"/>
  <c r="K33" i="1"/>
  <c r="K35" i="1" s="1"/>
  <c r="K37" i="1" s="1"/>
  <c r="L32" i="1"/>
  <c r="K25" i="1"/>
  <c r="D35" i="1"/>
  <c r="D36" i="1"/>
  <c r="D31" i="2" l="1"/>
  <c r="D32" i="2" s="1"/>
  <c r="D34" i="2" s="1"/>
  <c r="K38" i="1"/>
  <c r="K41" i="1"/>
  <c r="K40" i="1"/>
  <c r="E23" i="2"/>
  <c r="D36" i="2"/>
  <c r="D8" i="2"/>
  <c r="E8" i="2" s="1"/>
  <c r="G32" i="2"/>
  <c r="E32" i="2"/>
  <c r="D33" i="2"/>
  <c r="E33" i="2" s="1"/>
  <c r="D6" i="2"/>
  <c r="E6" i="2" s="1"/>
  <c r="E5" i="3"/>
  <c r="L5" i="3"/>
  <c r="L8" i="3" s="1"/>
  <c r="L18" i="3" s="1"/>
  <c r="L31" i="3" s="1"/>
  <c r="D34" i="3"/>
  <c r="E33" i="3"/>
  <c r="D35" i="2" l="1"/>
  <c r="E34" i="2"/>
  <c r="G36" i="2"/>
  <c r="E36" i="2"/>
  <c r="D36" i="3"/>
  <c r="E34" i="3"/>
  <c r="D37" i="2" l="1"/>
  <c r="E35" i="2"/>
  <c r="L34" i="3"/>
  <c r="L36" i="3" s="1"/>
  <c r="L38" i="3" s="1"/>
  <c r="L57" i="3"/>
  <c r="L58" i="3" s="1"/>
  <c r="D38" i="3"/>
  <c r="E36" i="3"/>
  <c r="D39" i="2" l="1"/>
  <c r="E37" i="2"/>
  <c r="D46" i="3"/>
  <c r="G38" i="3"/>
  <c r="L61" i="3"/>
  <c r="M58" i="3"/>
  <c r="L45" i="3"/>
  <c r="L44" i="3"/>
  <c r="L46" i="3"/>
  <c r="D45" i="3"/>
  <c r="D44" i="3"/>
  <c r="D39" i="3"/>
  <c r="E39" i="3" s="1"/>
  <c r="E38" i="3"/>
  <c r="D40" i="2" l="1"/>
  <c r="E40" i="2" s="1"/>
  <c r="D48" i="2"/>
  <c r="D46" i="2"/>
  <c r="D47" i="2"/>
  <c r="E39" i="2"/>
  <c r="L48" i="3"/>
  <c r="L63" i="3"/>
  <c r="L62" i="3"/>
  <c r="J75" i="3" s="1"/>
  <c r="D48" i="3"/>
  <c r="D49" i="3" s="1"/>
  <c r="L42" i="3"/>
  <c r="D42" i="3"/>
  <c r="D50" i="2" l="1"/>
  <c r="D51" i="2" s="1"/>
  <c r="L52" i="3"/>
  <c r="M48" i="3"/>
  <c r="L53" i="3"/>
  <c r="H9" i="38" l="1"/>
  <c r="L12" i="38"/>
  <c r="L9" i="38" s="1"/>
  <c r="L19" i="38" s="1"/>
  <c r="H19" i="38" l="1"/>
  <c r="H40" i="38" s="1"/>
  <c r="H18" i="38"/>
  <c r="L21" i="38"/>
  <c r="I9" i="38"/>
  <c r="K12" i="38"/>
  <c r="K9" i="38" s="1"/>
  <c r="K19" i="38" s="1"/>
  <c r="I19" i="38" l="1"/>
  <c r="I40" i="38" s="1"/>
  <c r="J40" i="38" s="1"/>
  <c r="I18" i="38"/>
  <c r="J9" i="38"/>
  <c r="M12" i="38"/>
  <c r="M9" i="38" s="1"/>
  <c r="M19" i="38" s="1"/>
  <c r="M45" i="38"/>
  <c r="L45" i="38"/>
  <c r="K21" i="38"/>
  <c r="M40" i="38" l="1"/>
  <c r="L40" i="38"/>
  <c r="K40" i="38"/>
  <c r="N40" i="38" s="1"/>
  <c r="J19" i="38"/>
  <c r="J18" i="38"/>
  <c r="K18" i="38" s="1"/>
  <c r="K45" i="38"/>
  <c r="N45" i="38"/>
  <c r="M21" i="38"/>
  <c r="H42" i="38"/>
  <c r="J42" i="38" s="1"/>
  <c r="H46" i="38"/>
  <c r="H47" i="38" s="1"/>
  <c r="M42" i="38" l="1"/>
  <c r="L42" i="38"/>
  <c r="K42" i="38"/>
  <c r="N42" i="38" s="1"/>
  <c r="N41" i="38" s="1"/>
  <c r="N46" i="38" s="1"/>
  <c r="L18" i="38"/>
  <c r="M18" i="38"/>
  <c r="N18" i="38"/>
  <c r="I46" i="38"/>
  <c r="I47" i="38" s="1"/>
  <c r="L41" i="38"/>
  <c r="H62" i="38"/>
  <c r="H55" i="38"/>
  <c r="N126" i="38" l="1"/>
  <c r="N47" i="38"/>
  <c r="K41" i="38"/>
  <c r="L46" i="38"/>
  <c r="H64" i="38"/>
  <c r="H122" i="38" s="1"/>
  <c r="H129" i="38" s="1"/>
  <c r="I55" i="38"/>
  <c r="I64" i="38" s="1"/>
  <c r="I122" i="38" s="1"/>
  <c r="M41" i="38"/>
  <c r="J41" i="38"/>
  <c r="J46" i="38" s="1"/>
  <c r="J126" i="38" s="1"/>
  <c r="N55" i="38" l="1"/>
  <c r="N64" i="38" s="1"/>
  <c r="J47" i="38"/>
  <c r="J55" i="38" s="1"/>
  <c r="J64" i="38" s="1"/>
  <c r="L47" i="38"/>
  <c r="L126" i="38"/>
  <c r="K47" i="38"/>
  <c r="H124" i="38"/>
  <c r="M46" i="38"/>
  <c r="I124" i="38"/>
  <c r="I129" i="38"/>
  <c r="L55" i="38" l="1"/>
  <c r="L64" i="38" s="1"/>
  <c r="L122" i="38" s="1"/>
  <c r="N124" i="38"/>
  <c r="N125" i="38" s="1"/>
  <c r="N122" i="38"/>
  <c r="N119" i="38"/>
  <c r="K55" i="38"/>
  <c r="K64" i="38" s="1"/>
  <c r="J122" i="38"/>
  <c r="J129" i="38" s="1"/>
  <c r="J119" i="38"/>
  <c r="J66" i="38" s="1"/>
  <c r="J124" i="38"/>
  <c r="J125" i="38" s="1"/>
  <c r="M47" i="38"/>
  <c r="M55" i="38" s="1"/>
  <c r="M64" i="38" s="1"/>
  <c r="M126" i="38"/>
  <c r="J75" i="38"/>
  <c r="J68" i="38"/>
  <c r="J67" i="38"/>
  <c r="L119" i="38" l="1"/>
  <c r="L124" i="38"/>
  <c r="L125" i="38" s="1"/>
  <c r="K124" i="38"/>
  <c r="K125" i="38" s="1"/>
  <c r="K122" i="38"/>
  <c r="K123" i="38" s="1"/>
  <c r="K119" i="38"/>
  <c r="K67" i="38"/>
  <c r="L68" i="38"/>
  <c r="K68" i="38"/>
  <c r="L67" i="38"/>
  <c r="M124" i="38"/>
  <c r="M125" i="38" s="1"/>
  <c r="M122" i="38"/>
  <c r="N68" i="38"/>
  <c r="N67" i="38"/>
  <c r="M119" i="38"/>
  <c r="M68" i="38"/>
  <c r="M67" i="38"/>
  <c r="L123" i="38" l="1"/>
  <c r="K71" i="38"/>
  <c r="K66" i="38"/>
  <c r="M123" i="38"/>
  <c r="N123" i="38"/>
</calcChain>
</file>

<file path=xl/sharedStrings.xml><?xml version="1.0" encoding="utf-8"?>
<sst xmlns="http://schemas.openxmlformats.org/spreadsheetml/2006/main" count="506" uniqueCount="367">
  <si>
    <t>ПОКАЗАТЕЛИ</t>
  </si>
  <si>
    <t>ФАКТ 2014</t>
  </si>
  <si>
    <t>ПРОГНОЗ 2016</t>
  </si>
  <si>
    <t>ПРОГНОЗ 2017</t>
  </si>
  <si>
    <t>ВРП млн. руб.</t>
  </si>
  <si>
    <t>Рост ВРП в % к предыдущему году в сопоставимых ценах</t>
  </si>
  <si>
    <t>ФАКТ 2015</t>
  </si>
  <si>
    <t>Прибыль прибыльных, млн. руб.</t>
  </si>
  <si>
    <t>в % к предыдущему году в действующих ценах</t>
  </si>
  <si>
    <t>Прибыль н/о для расчета, тыс. руб. 5-П 1000+1010-1020-1030</t>
  </si>
  <si>
    <t>Прибыль н/о в прибыли прибыльных,%</t>
  </si>
  <si>
    <t>Прибыль н/о в ВРП, %</t>
  </si>
  <si>
    <t>уменьшающие убытки, 5П 1070</t>
  </si>
  <si>
    <t>доля уменьшающих убытков в н/о прибыли</t>
  </si>
  <si>
    <t xml:space="preserve">Налогоблагаемая база </t>
  </si>
  <si>
    <t>Ставка в региональный бюджет</t>
  </si>
  <si>
    <t>Исчисленный налог</t>
  </si>
  <si>
    <t xml:space="preserve">Результаты годовогоперерасчета 5п, 1120-1130-1140-1150 </t>
  </si>
  <si>
    <t>Доля перерасчетов в н/о прибыли</t>
  </si>
  <si>
    <t>Недопоступление налога в связи с убытком, 5п 1157*18%/20%</t>
  </si>
  <si>
    <t xml:space="preserve">Доля в н/о прибыли,% </t>
  </si>
  <si>
    <t xml:space="preserve">Льготы региона 5П </t>
  </si>
  <si>
    <t xml:space="preserve">Налогоблагаемая база по КГН </t>
  </si>
  <si>
    <t>Доля в основной н/о прибыли</t>
  </si>
  <si>
    <t>Налог по КГН</t>
  </si>
  <si>
    <t>Собираемость</t>
  </si>
  <si>
    <t>ПРОГНОЗ НАЛОГА НА ПРИБЫЛЬ</t>
  </si>
  <si>
    <t>ПРОГНОЗ НАЛОГА НА ПРИБЫЛЬ без КГН</t>
  </si>
  <si>
    <t>Фактически поступило налога на прибыль</t>
  </si>
  <si>
    <t>Фактически поступило налога на прибыль за 9 месяцев</t>
  </si>
  <si>
    <t xml:space="preserve">Базовая цена на нефть </t>
  </si>
  <si>
    <t>Коэффициент изменения цены на нефть</t>
  </si>
  <si>
    <t>Поправка прогноза по КГН на изменение цены на нефть</t>
  </si>
  <si>
    <t>Прогноз налога на прибыль исходя из достигнутых темпов</t>
  </si>
  <si>
    <t>Отклонение</t>
  </si>
  <si>
    <t>Отклонение, %</t>
  </si>
  <si>
    <t>Доходы исключаемые из прибыли</t>
  </si>
  <si>
    <t>5 П на 01.07.2016</t>
  </si>
  <si>
    <t>Прогноз на 2016 исходя из отчета 5ПМ за 2015</t>
  </si>
  <si>
    <t>Налоговая база по организациям без обособок, строка 1010</t>
  </si>
  <si>
    <t>Сумма налога на прибыль</t>
  </si>
  <si>
    <t>Доля н/о базы в прибыли для н/о</t>
  </si>
  <si>
    <t>льготы региона</t>
  </si>
  <si>
    <t>налоговая база по обособкам, 1110</t>
  </si>
  <si>
    <t>налог на прибыль</t>
  </si>
  <si>
    <t>Доля в н/о прибыли</t>
  </si>
  <si>
    <t>База по ликвидированным обособкам</t>
  </si>
  <si>
    <t>доля в н/о базе</t>
  </si>
  <si>
    <t>база по группе обособок 1310</t>
  </si>
  <si>
    <t xml:space="preserve">льготы региона </t>
  </si>
  <si>
    <t>Всего база по региону</t>
  </si>
  <si>
    <t>КГН</t>
  </si>
  <si>
    <t>налог по КГН</t>
  </si>
  <si>
    <t>доля базы по кгн в общей базе</t>
  </si>
  <si>
    <t>итого база кпрогнозу</t>
  </si>
  <si>
    <t xml:space="preserve">собираемость </t>
  </si>
  <si>
    <t xml:space="preserve">итого налог </t>
  </si>
  <si>
    <t>налоговая база по  5-п</t>
  </si>
  <si>
    <t xml:space="preserve">краевой бюджет </t>
  </si>
  <si>
    <t>доля налоговой базы в прибыли прибыльных</t>
  </si>
  <si>
    <t xml:space="preserve">льготы </t>
  </si>
  <si>
    <t>Прогноз поступления налога на прибыль в консолидированный бюджет Краснодарского края (по данным отчета по форме № 5 ПМ)</t>
  </si>
  <si>
    <t>Показатели</t>
  </si>
  <si>
    <t xml:space="preserve">факт 2015 (по данным отчета №5-ПМ) </t>
  </si>
  <si>
    <t>Прогноз 2016</t>
  </si>
  <si>
    <t>Темп к 2015, %</t>
  </si>
  <si>
    <t xml:space="preserve">ВРП, млн. рублей </t>
  </si>
  <si>
    <t>Доля н/о базы региона в ВРП</t>
  </si>
  <si>
    <t>Прибыль прибыльных организаций</t>
  </si>
  <si>
    <t>Прогноз н/о базы исходя из ВРП</t>
  </si>
  <si>
    <t>Прогноз по данным 5ПМ</t>
  </si>
  <si>
    <t>льготы региона, 1140</t>
  </si>
  <si>
    <t>Доля н/о базы в совокупной базе  для н/о, %</t>
  </si>
  <si>
    <t xml:space="preserve">доля в совокупной базе </t>
  </si>
  <si>
    <t>база по КГН по данным отчета № 5 КГНМ</t>
  </si>
  <si>
    <t>итого база к прогнозу</t>
  </si>
  <si>
    <t>налог на прибыль по ставке 18 %</t>
  </si>
  <si>
    <t>налог на прибыль без льгот</t>
  </si>
  <si>
    <t>Прогноз снижениябазы по КГН в связи с изменением цены на нефть</t>
  </si>
  <si>
    <t>Прогноз 2017</t>
  </si>
  <si>
    <t>Темп к 2016, %</t>
  </si>
  <si>
    <t>Прогноз 2019</t>
  </si>
  <si>
    <t>Темп к 2018, %</t>
  </si>
  <si>
    <t>Всего база по региону, сумма строк  7, 11, 14, 17 минус строка 27</t>
  </si>
  <si>
    <t>доля базы по кгн в базе строка 17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</si>
  <si>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</si>
  <si>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</t>
  </si>
  <si>
    <t xml:space="preserve">                                                </t>
  </si>
  <si>
    <t>по результам перерасчетов за 2015</t>
  </si>
  <si>
    <t xml:space="preserve">погашение задолженности </t>
  </si>
  <si>
    <t xml:space="preserve">по контрольной работе </t>
  </si>
  <si>
    <t>ФАКТ  2016</t>
  </si>
  <si>
    <t>Темп к прогнозу2016, %</t>
  </si>
  <si>
    <t>прогноз поступления налога на прибыль всего</t>
  </si>
  <si>
    <t>факт 2016</t>
  </si>
  <si>
    <t xml:space="preserve">по результам годовых перерасчетов </t>
  </si>
  <si>
    <t xml:space="preserve">прогноз дополнительных поступлений </t>
  </si>
  <si>
    <t>погрешность прогноза</t>
  </si>
  <si>
    <t>доля дополнительных поступлений в общем объеме налога, исчисленного по базе текущего периода , определена по данным приложение №2 по налогу на прибыль ФБ (форма №1-ПД)</t>
  </si>
  <si>
    <t xml:space="preserve">фактически поступило </t>
  </si>
  <si>
    <t>Факт 2017</t>
  </si>
  <si>
    <t>Темп к прогнозу  2018, %</t>
  </si>
  <si>
    <t>доля</t>
  </si>
  <si>
    <t xml:space="preserve">рассчитано прямым счетом исходя из соотношения каждого месяца к предыдущему </t>
  </si>
  <si>
    <t xml:space="preserve">факт 1 полугодия 2016 </t>
  </si>
  <si>
    <t xml:space="preserve">% в общем объеме </t>
  </si>
  <si>
    <t xml:space="preserve">факт 1 полугодия 2017 </t>
  </si>
  <si>
    <t>факт 2 полугодия 2016</t>
  </si>
  <si>
    <t>прогноз на 2 полугодие  2017</t>
  </si>
  <si>
    <t>1-пд</t>
  </si>
  <si>
    <t>1-бс</t>
  </si>
  <si>
    <t>дииденды</t>
  </si>
  <si>
    <t>ФБ</t>
  </si>
  <si>
    <t>1 кв.2017</t>
  </si>
  <si>
    <t>2 кв.2017</t>
  </si>
  <si>
    <t>3 кв.2017</t>
  </si>
  <si>
    <t>4 кв.2017</t>
  </si>
  <si>
    <t>1 кв. 2018</t>
  </si>
  <si>
    <t>2 кв.2018</t>
  </si>
  <si>
    <t>среднее</t>
  </si>
  <si>
    <t xml:space="preserve">приведенные </t>
  </si>
  <si>
    <t>поступления</t>
  </si>
  <si>
    <t>общая</t>
  </si>
  <si>
    <t>дивиденды</t>
  </si>
  <si>
    <t>гмб</t>
  </si>
  <si>
    <t>всего</t>
  </si>
  <si>
    <t xml:space="preserve">Прогноз поступления в федеральный бюдже налога на прибыль организаций на 2018 год </t>
  </si>
  <si>
    <t>показатели</t>
  </si>
  <si>
    <t xml:space="preserve">ВРП </t>
  </si>
  <si>
    <t>темп</t>
  </si>
  <si>
    <t>реальный темп ВРП</t>
  </si>
  <si>
    <t>Налоговая база по УФНС</t>
  </si>
  <si>
    <t>Долябазы в ВРП</t>
  </si>
  <si>
    <t>Убыток уменьшающий налоговую базу</t>
  </si>
  <si>
    <t>Доля Убытка в налоовой базе</t>
  </si>
  <si>
    <t xml:space="preserve">Налоговаябаза </t>
  </si>
  <si>
    <t>Сумма налога в ФБ</t>
  </si>
  <si>
    <t xml:space="preserve">Квартальная сумма </t>
  </si>
  <si>
    <t>Поступило дивидендов</t>
  </si>
  <si>
    <t>Доля дивидендов в налоговой базе</t>
  </si>
  <si>
    <t>Поступило ГМБ</t>
  </si>
  <si>
    <t>доля ГМБ в налоговой базе</t>
  </si>
  <si>
    <t xml:space="preserve">Поступило от постоянных представительств инстранных организаций </t>
  </si>
  <si>
    <t>Доля в налоговой базе</t>
  </si>
  <si>
    <t>ИТОГО На 2018</t>
  </si>
  <si>
    <t>Поступило за 1 полугодие 2018</t>
  </si>
  <si>
    <t>Прогноз на 2 полугодие 2018</t>
  </si>
  <si>
    <t xml:space="preserve">Прогноз на 3 квартал </t>
  </si>
  <si>
    <t xml:space="preserve">выпадающие доходы </t>
  </si>
  <si>
    <t>по среднему темпу</t>
  </si>
  <si>
    <t>Прогноз  базы по КГН в связи с изменением цены на нефть</t>
  </si>
  <si>
    <t>Прогноз налога по КГН в связи с изменением цены на нефть</t>
  </si>
  <si>
    <t xml:space="preserve"> - темп роста (ВРП) </t>
  </si>
  <si>
    <t xml:space="preserve">Факт 2018 </t>
  </si>
  <si>
    <t>Факт налог на прибыль (отчет 1-НМ)</t>
  </si>
  <si>
    <t xml:space="preserve">Прибыль н/о в прибыли прибыльных,% </t>
  </si>
  <si>
    <t>5-ПМ гр.1 стр. 1010+1110+1210+1310/ Расчетна величина = налоговая база* налоговая база в прибыли прибыльных</t>
  </si>
  <si>
    <t>стр 5</t>
  </si>
  <si>
    <t>стр. 5/стр. 3</t>
  </si>
  <si>
    <t>ст. 284 НК РФ</t>
  </si>
  <si>
    <t>Исчисленный налог по организациям, не имеющим обособ. подр.; по обособ. подр-ям организаций; по обособ. подр-ям ликвидированным; по группе обособ. подр-й, находящихся на территории одного суб. РФ; тыс. рублей  (5-ПМ)</t>
  </si>
  <si>
    <t>Налогоблагаемая база по КГН включая перерасчеты за год (налоговая база для исчисления налога + налога к доплате/расч.ставка -налога к уменьшению/расч.ставка - недопоступления налога в связи с примен. пониженных ставок /расч.ставка) (5-КГНМ )</t>
  </si>
  <si>
    <t xml:space="preserve"> 5-ПМ гр.2 стр. 1040+1140+1240+1340</t>
  </si>
  <si>
    <t>стр. 13/стр. 11</t>
  </si>
  <si>
    <t xml:space="preserve">Налог по КГН </t>
  </si>
  <si>
    <t>Стат. отчетность</t>
  </si>
  <si>
    <t>Минэконом РФ Прогноз соц.-экон. развития РФ  до 2024</t>
  </si>
  <si>
    <t>Расчетная величина</t>
  </si>
  <si>
    <t xml:space="preserve">Налогоблагаемая база  (V НБ) </t>
  </si>
  <si>
    <t>5-ПМ гр.1 стр. 1010</t>
  </si>
  <si>
    <t>5-ПМ гр.1 стр. 1110</t>
  </si>
  <si>
    <t>5-ПМ гр.1 стр. 1210</t>
  </si>
  <si>
    <t>5-ПМ гр.1 стр. 1310</t>
  </si>
  <si>
    <t>5-ПМ гр.1 стр. 1020</t>
  </si>
  <si>
    <t>5-ПМ гр.1 стр. 1120</t>
  </si>
  <si>
    <t>5-ПМ гр.1 стр. 1220</t>
  </si>
  <si>
    <t>5-ПМ гр.1 стр. 1320</t>
  </si>
  <si>
    <t xml:space="preserve">Суммма недопоступление налога по организациям, не имеющим обособ. подр. </t>
  </si>
  <si>
    <t xml:space="preserve"> 5-ПМ гр.2 стр. 1040</t>
  </si>
  <si>
    <t>Суммма недопоступление налогаг по обособ. подр-ям организаций</t>
  </si>
  <si>
    <t xml:space="preserve"> 5-ПМ гр.2 стр. 1140</t>
  </si>
  <si>
    <t xml:space="preserve">Суммма недопоступление налогапо обособ. подр-ям ликвидированным </t>
  </si>
  <si>
    <t xml:space="preserve"> 5-ПМ гр.2 стр. 1240</t>
  </si>
  <si>
    <t xml:space="preserve"> 5-ПМ гр.2 стр. 1340</t>
  </si>
  <si>
    <t>Налоговая база для исчисления налога исходя из доли</t>
  </si>
  <si>
    <t xml:space="preserve">Сумма исчисленного налога </t>
  </si>
  <si>
    <t xml:space="preserve">Ставка налога </t>
  </si>
  <si>
    <t>Сумма налога на прибыль к доплате</t>
  </si>
  <si>
    <t>Сумма налога на прибыль к уменьшению</t>
  </si>
  <si>
    <t>Сумма недопоступления налога в связи с примен. пониж. ставок налога, установл. законами субъекта РФ</t>
  </si>
  <si>
    <t>стр. 11/стр. 7</t>
  </si>
  <si>
    <t>5-КГНМ гр.2 стр.1300+1500-1600-1700 / Расчетна величина = налоговая база* ставка</t>
  </si>
  <si>
    <t>стр. 11*стр. 16</t>
  </si>
  <si>
    <t>стр. 13*стр. 16</t>
  </si>
  <si>
    <t xml:space="preserve">Начислено к уплате - налог на прибыль , зачисляемый в бюджеты РФ (за искл. КГН) </t>
  </si>
  <si>
    <t xml:space="preserve">Поступило - налог на прибыль в КБ (за искл. КГН) </t>
  </si>
  <si>
    <t xml:space="preserve">Начислено к уплате - налог на прибыль КГН , зачисляемый в бюджеты РФ </t>
  </si>
  <si>
    <t xml:space="preserve">Поступило - налог на прибыль КГН в КБ </t>
  </si>
  <si>
    <t>стр. 19* стр. 22 - стр.19</t>
  </si>
  <si>
    <t>стр.19*стр.1 (коэф. измен. ВРП)-стр.19</t>
  </si>
  <si>
    <t>стр. 19+ стр. 20 + стр.23 + стр. 24 + стр.25</t>
  </si>
  <si>
    <t>стр. 9 + стр. 18</t>
  </si>
  <si>
    <t xml:space="preserve">Сумма недопоступление налога по группе обособ. подр-й, находящихся на территории одного суб. РФ </t>
  </si>
  <si>
    <t>Налоговая база по группе обособ. подр-й, находящихся на территории одного суб. РФ (V НБ гр.Об) ; тыс. рублей  (5-ПМ)</t>
  </si>
  <si>
    <t>ВРП тыс. руб.</t>
  </si>
  <si>
    <t>Доля прибыли прибыльных в ВРП</t>
  </si>
  <si>
    <t xml:space="preserve">Прибыль прибыльных, тыс. руб. </t>
  </si>
  <si>
    <t>Налоговая база (V НБ) по организациям, не имеющим обособ. подр. (V НБ б/Об); по обособ. подр-ям организаций (V НБ Об); по обособ. подр-ям ликвидированным (V НБ Ликв.Об); по группе обособ. подр-й, находящихся на территории одного суб. РФ (V НБ гр.Об) ; тыс. рублей  (5-ПМ)</t>
  </si>
  <si>
    <t>Налоговая база по организациям, не имеющим обособ. подр. (V НБ б/Об)</t>
  </si>
  <si>
    <t>Налоговая база по обособ. подр-ям организаций (V НБ Об)</t>
  </si>
  <si>
    <t>Налоговая база по обособ. подр-ям ликвидированным (V НБ Ликв.Об)</t>
  </si>
  <si>
    <t>S  (Ставка налога в региональный бюджет)</t>
  </si>
  <si>
    <t>Исчисленный налог по организациям, не имеющим обособ. подр. (V НБ б/Об)</t>
  </si>
  <si>
    <t>Исчисленный налог по обособ. подр-ям организаций (V НБ Об)</t>
  </si>
  <si>
    <t>Исчисленный налог по обособ. подр-ям ликвидированным (V НБ Ликв.Об)</t>
  </si>
  <si>
    <t>Исчисленный налог по группе обособ. подр-й, находящихся на территории одного суб. РФ (V НБ гр.Об) ; тыс. рублей  (5-ПМ)</t>
  </si>
  <si>
    <t>Суммма недопоступление налога в связи с предост льгот  Vльгот (5-ПМ)</t>
  </si>
  <si>
    <t xml:space="preserve">темпы за год </t>
  </si>
  <si>
    <t>в % к прошлому году</t>
  </si>
  <si>
    <t>темпы за год без разовых сделок</t>
  </si>
  <si>
    <t>Мурашка Т.В., 2685144</t>
  </si>
  <si>
    <t>Отклонение с учетом Kсоб    + / -</t>
  </si>
  <si>
    <t>Прибыль организаций  (Сумма налога на прибыль региональнй бюджет (оценка)</t>
  </si>
  <si>
    <t>тыс. рублей</t>
  </si>
  <si>
    <t>Факт 2019</t>
  </si>
  <si>
    <t>5-ПМ гр.1 стр. 1020+1120+1220+1320/ Расчетная величина = налоговая база* ставка</t>
  </si>
  <si>
    <t>удельный вес в поступлениях за год</t>
  </si>
  <si>
    <t>стр.28/стр.27*100</t>
  </si>
  <si>
    <t>57 085 372</t>
  </si>
  <si>
    <t>1-ПД ут</t>
  </si>
  <si>
    <t>по доле 66.6</t>
  </si>
  <si>
    <t>без погрешности</t>
  </si>
  <si>
    <t>прогноз 2024</t>
  </si>
  <si>
    <t>Факт 2020</t>
  </si>
  <si>
    <t xml:space="preserve">Зачтен налог, уплаченный за пределами РФ </t>
  </si>
  <si>
    <t>5-КГНМ гр. 1 стр. 1400</t>
  </si>
  <si>
    <t>5-КГНМ гр. 1 стр. 1100+1500/ставку-1600/ставку-1700/ставку  / Расчетна величина = налоговая база* налоговая база в прибыли прибыльных</t>
  </si>
  <si>
    <t>5-КГНМ гр. 1 стр. 1100</t>
  </si>
  <si>
    <t>5-КГНМ гр. 1 стр. 1200</t>
  </si>
  <si>
    <t>5-КГНМ гр. 1 стр. 1300</t>
  </si>
  <si>
    <t>5-КГНМ гр. 1 стр. 1200/стр. 1100</t>
  </si>
  <si>
    <t>5-КГНМ гр. 1 стр. 1500</t>
  </si>
  <si>
    <t>5-КГНМ гр. 1 стр. 1600</t>
  </si>
  <si>
    <t>5-КГНМ гр. 1 стр. 1700</t>
  </si>
  <si>
    <t>стр. 19*(-9.3%)(2018, 2019,2020, 2021,2022,2023, 2024)</t>
  </si>
  <si>
    <t>прогноз 2025</t>
  </si>
  <si>
    <t>1-НМ гр.1 стр. 1060 (ИР РСБ)</t>
  </si>
  <si>
    <t>1-НМ гр.3 стр. 1060 (справка ф.20)</t>
  </si>
  <si>
    <t>1-НМ гр.1 стр. 1066 (ИР РСБ0</t>
  </si>
  <si>
    <t>1-НМ гр.3 стр. 1066 (справка ф.20)</t>
  </si>
  <si>
    <t xml:space="preserve"> - погрешность прогнозирования (+/-15% 2022-2025) </t>
  </si>
  <si>
    <t>МБ Краснодар ПРОГНОЗ</t>
  </si>
  <si>
    <t>МБ Краснодар ФАКТ</t>
  </si>
  <si>
    <t>1-НМ гр.3 стр. 1050 (справка ВР ф.20)</t>
  </si>
  <si>
    <t>прогноз 2026</t>
  </si>
  <si>
    <t>темпы за 4 мес.(к сопоставимому периоду предыдущего года )%</t>
  </si>
  <si>
    <t>По Краснодарскому краю (прогноз ФНС)</t>
  </si>
  <si>
    <t>Кроме того.</t>
  </si>
  <si>
    <t>Прогноз поступления доходов от налога на прибыль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 с учетом норматива распределения</t>
  </si>
  <si>
    <t>182 1 01 01130 01 0000 110</t>
  </si>
  <si>
    <t>тыс. руб.</t>
  </si>
  <si>
    <t>Дополнительные поступления по бывшим участникам КГН напрямую в бюджеты субъектов РФ с учетом поэтапного роста доли с 20 % до 60%</t>
  </si>
  <si>
    <t>2023 (20%) исходя из оставшихся 9 мес.</t>
  </si>
  <si>
    <t>2024 (40%) исходя из 12 мес.</t>
  </si>
  <si>
    <t>2025 (60%) исходя из 12 мес.</t>
  </si>
  <si>
    <t>2026 (100%) исходя из 12 мес.</t>
  </si>
  <si>
    <t xml:space="preserve">Поступления по бывшим участникам КГН в консолидированный бюджет края на 01.08.2023 г. (напрямую - 20%) </t>
  </si>
  <si>
    <t>БН</t>
  </si>
  <si>
    <t>НА 31.07.2023</t>
  </si>
  <si>
    <t>ОТКЛ</t>
  </si>
  <si>
    <t>ВСЕГО</t>
  </si>
  <si>
    <t xml:space="preserve">ФАКТ </t>
  </si>
  <si>
    <t>ежемесячный АВ (по данным деклараций за 6 мес 2023)</t>
  </si>
  <si>
    <t>август</t>
  </si>
  <si>
    <t>сентябрь</t>
  </si>
  <si>
    <t xml:space="preserve">октябрь </t>
  </si>
  <si>
    <t>ноябрь</t>
  </si>
  <si>
    <t>декабрь</t>
  </si>
  <si>
    <t>ИТОГО</t>
  </si>
  <si>
    <t>АВ от фактической прибыли по декларации за июнь 2023</t>
  </si>
  <si>
    <t>оценка АВ от фактической прибыли на август-декабрь</t>
  </si>
  <si>
    <t>Дашборд на 01.08.2023</t>
  </si>
  <si>
    <t>Излишне перечисленная сумма (в т.ч. зарезервированная уплата) по  налогам, сборам, штрафам на  03.08.2023</t>
  </si>
  <si>
    <t>справочно</t>
  </si>
  <si>
    <t>Заявления в счет предстоящих начислений</t>
  </si>
  <si>
    <t>Отмена  заявления в счет предстоящих начислений</t>
  </si>
  <si>
    <t>Возможное изьятие переплаты (оценка)</t>
  </si>
  <si>
    <t>ОЦЕНКА ПОСТУПЛЕНИЙ ДО КОНЦА 2023 ГОДА</t>
  </si>
  <si>
    <t>РАСПРЕДЕЛЯЕМЫЕ ДОХОДЫ ПО НАЛОГУ НА ПРИБЫЛЬ ОЦЕНКА АВГУСТ-ДЕКАБРЬ 2023</t>
  </si>
  <si>
    <t xml:space="preserve"> АВГУСТ- ДЕКАБРЬ 2023 Поступления по бывшим участникам КГН в консолидированный бюджет края  (напрямую - 20%)18210101130011000000</t>
  </si>
  <si>
    <t>НА 13.08.2023</t>
  </si>
  <si>
    <t>прогноз инспекций по 1-БС на 01.08.2023 на август-декабрь 2023</t>
  </si>
  <si>
    <t>факт на 31.07.2023</t>
  </si>
  <si>
    <t>оценка 2023 с учетом прогноза ИФНС и возврата всей переплаты</t>
  </si>
  <si>
    <t xml:space="preserve">прогноз инспекций по 1-БС на 01.08.2023 на 2023 год </t>
  </si>
  <si>
    <t>доплата по годовой декларации крупным НП/рост базы в 1 полугодии 2023</t>
  </si>
  <si>
    <t>удельный вес в поступлениях за год без учета зачета переплаты на ЕНП 6833639 тыс рублей</t>
  </si>
  <si>
    <t>удельный вес в поступлениях за год СРЕДНЕЕ ЗНАЧЕНИЕ ЗА 2019-2022</t>
  </si>
  <si>
    <t>рост поступлений по плательщикам не производившим уплату налога в 2022 году (сравнение 7 месяцеа 2023 и 7 месяцев 2022)</t>
  </si>
  <si>
    <t>18210101012020000110</t>
  </si>
  <si>
    <t>18210101014020000110</t>
  </si>
  <si>
    <t>182 1 01 01120 01 0000 110</t>
  </si>
  <si>
    <t>прогноз 2027</t>
  </si>
  <si>
    <t>П</t>
  </si>
  <si>
    <t>оценка поступлений за май-декабрь</t>
  </si>
  <si>
    <t>прогноз 2023</t>
  </si>
  <si>
    <r>
      <t xml:space="preserve">Налог на прибыль </t>
    </r>
    <r>
      <rPr>
        <b/>
        <i/>
        <vertAlign val="subscript"/>
        <sz val="13"/>
        <color theme="1"/>
        <rFont val="Times New Roman"/>
        <family val="1"/>
        <charset val="204"/>
      </rPr>
      <t>всеКГН</t>
    </r>
    <r>
      <rPr>
        <b/>
        <i/>
        <sz val="13"/>
        <color theme="1"/>
        <rFont val="Times New Roman"/>
        <family val="1"/>
        <charset val="204"/>
      </rPr>
      <t xml:space="preserve"> 
(КБК 182101011040010000110)</t>
    </r>
  </si>
  <si>
    <r>
      <t xml:space="preserve">Налог на прибыль </t>
    </r>
    <r>
      <rPr>
        <b/>
        <i/>
        <vertAlign val="subscript"/>
        <sz val="13"/>
        <color theme="1"/>
        <rFont val="Times New Roman"/>
        <family val="1"/>
        <charset val="204"/>
      </rPr>
      <t>всеКГН</t>
    </r>
    <r>
      <rPr>
        <b/>
        <i/>
        <sz val="13"/>
        <color theme="1"/>
        <rFont val="Times New Roman"/>
        <family val="1"/>
        <charset val="204"/>
      </rPr>
      <t xml:space="preserve"> =V КГН *</t>
    </r>
    <r>
      <rPr>
        <b/>
        <i/>
        <vertAlign val="subscript"/>
        <sz val="13"/>
        <color theme="1"/>
        <rFont val="Times New Roman"/>
        <family val="1"/>
        <charset val="204"/>
      </rPr>
      <t xml:space="preserve"> </t>
    </r>
    <r>
      <rPr>
        <b/>
        <i/>
        <sz val="13"/>
        <color theme="1"/>
        <rFont val="Times New Roman"/>
        <family val="1"/>
        <charset val="204"/>
      </rPr>
      <t>T</t>
    </r>
    <r>
      <rPr>
        <b/>
        <i/>
        <vertAlign val="subscript"/>
        <sz val="13"/>
        <color theme="1"/>
        <rFont val="Times New Roman"/>
        <family val="1"/>
        <charset val="204"/>
      </rPr>
      <t xml:space="preserve">экспорт </t>
    </r>
    <r>
      <rPr>
        <b/>
        <i/>
        <sz val="13"/>
        <color theme="1"/>
        <rFont val="Times New Roman"/>
        <family val="1"/>
        <charset val="204"/>
      </rPr>
      <t>* S (+-) F,</t>
    </r>
  </si>
  <si>
    <t>Налоговая база организаций, которые до 1 января 2023 года являлись участниками консолидированной группы налогоплательщиков (за исключением налогоплательщиков,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газа), тыс. рублей;</t>
  </si>
  <si>
    <t xml:space="preserve">V КГН </t>
  </si>
  <si>
    <t>темп роста/снижения экспорта по данным таможенной статистики, доводимый в составе прогноза социально-экономического развития, в рублевом эквиваленте, %; (по РФ)</t>
  </si>
  <si>
    <r>
      <rPr>
        <b/>
        <i/>
        <vertAlign val="subscript"/>
        <sz val="13"/>
        <color theme="1"/>
        <rFont val="Times New Roman"/>
        <family val="1"/>
        <charset val="204"/>
      </rPr>
      <t xml:space="preserve"> </t>
    </r>
    <r>
      <rPr>
        <b/>
        <i/>
        <sz val="13"/>
        <color theme="1"/>
        <rFont val="Times New Roman"/>
        <family val="1"/>
        <charset val="204"/>
      </rPr>
      <t>T</t>
    </r>
    <r>
      <rPr>
        <b/>
        <i/>
        <vertAlign val="subscript"/>
        <sz val="13"/>
        <color theme="1"/>
        <rFont val="Times New Roman"/>
        <family val="1"/>
        <charset val="204"/>
      </rPr>
      <t xml:space="preserve">экспорт </t>
    </r>
  </si>
  <si>
    <t>Ставка налога %</t>
  </si>
  <si>
    <t xml:space="preserve">S </t>
  </si>
  <si>
    <t xml:space="preserve">корректирующая сумма поступлений (возвратов), которые привели к отклонению расчетного показателя налога от фактически сложившегося показателя в текущем периоде или в ретроспективе. </t>
  </si>
  <si>
    <t xml:space="preserve"> F</t>
  </si>
  <si>
    <t>Факт налог на прибыль (отчет 1-НМC) за 12 месяцев 2023</t>
  </si>
  <si>
    <t>КБК 18210101130010000110</t>
  </si>
  <si>
    <t>Норматив распределения</t>
  </si>
  <si>
    <t>%</t>
  </si>
  <si>
    <t>Поступления по бывшим участникам КГН в консолидированный бюджет края на 01.01.2024 г. (напрямую - 20%)</t>
  </si>
  <si>
    <t>2023 (20%) исходя из оставшихся 5 мес.</t>
  </si>
  <si>
    <t>2027 (100%) исходя из 12 мес.</t>
  </si>
  <si>
    <t>Прибыль бывших КГН по динамике за 12 месяцев 2023</t>
  </si>
  <si>
    <t>Собираемость  % (2023-средний по Управлению)</t>
  </si>
  <si>
    <t>по данным "Экспедитор данных" на 13.05.2024</t>
  </si>
  <si>
    <t>поступления по бывшим участникам КГН в расчете на 1 месяц в краевой бюджет (исходя из срока уплаты 28 число по итогам за январь-декабрь 2023 )</t>
  </si>
  <si>
    <t>Прогноз СЭР Красн.края на 2024г. и на план.период 2025-2027гг.(осн.пок-ли предварит.прогноза на 05.07.2024г)</t>
  </si>
  <si>
    <t>прогноз основных показателей соц.-экон.развития г. Краснодар на 2024-2027(письмо Адм.г.Краснодар от 30.07.2023 №524/02)</t>
  </si>
  <si>
    <t>2023 - факт. 2024-2027 прогноз ФНС (письмо от 13.08.2024 № 1-1-06/0142@)</t>
  </si>
  <si>
    <t xml:space="preserve">182 1 01 01120 01 0000 110/ 
прогноз 2024-2027 - письмо ФНС  от 13.08.2024 № 1-1-06/0142@ 
</t>
  </si>
  <si>
    <t>Факт налог на прибыль (отчет 1-НМ) за 7 месяцев</t>
  </si>
  <si>
    <t>1-НМ (справка ф.20 2019-2023 на 31.07/ 2024 на 06.08.2024 с учетом структурного сдвига возврата</t>
  </si>
  <si>
    <t xml:space="preserve">F - корректирующ. сумма поступлений: отсутствие уплаты ТП в связи с наличием переплаты (крупные плательщики)/ зачет переплаты на ЕНП (2023 - данные дашборда на 01.08.2023) /2024-2026 прогнозируемая сумма налога к уменьшению по годовой декларации </t>
  </si>
  <si>
    <t>F - корректирующ. сумма поступлений: декларации к уменьшению за  2023</t>
  </si>
  <si>
    <t>КБК 18210101104010000110</t>
  </si>
  <si>
    <t>F - корректирующ.  (риск возврата и зачета текущих платежей (в том числе в другие налоги) из переплаты  по налогу на прибыль- входящее сальдо переплаты на 01.01.2024)</t>
  </si>
  <si>
    <t>форма № 1-ЕНР ПО ОКТМО 03701000 на 10.08.2024 стр.1203 гр.1</t>
  </si>
  <si>
    <t>F - корректирующ.  (фактические поступления на 06.08.2024 )</t>
  </si>
  <si>
    <t>18210101014020000110 (справка ф.20 )</t>
  </si>
  <si>
    <r>
      <rPr>
        <i/>
        <sz val="14"/>
        <rFont val="Times New Roman"/>
        <family val="1"/>
        <charset val="204"/>
      </rPr>
      <t xml:space="preserve">S </t>
    </r>
    <r>
      <rPr>
        <sz val="14"/>
        <rFont val="Times New Roman"/>
        <family val="1"/>
        <charset val="204"/>
      </rPr>
      <t xml:space="preserve"> (Ставка налога) </t>
    </r>
  </si>
  <si>
    <r>
      <rPr>
        <i/>
        <sz val="14"/>
        <color theme="1"/>
        <rFont val="Times New Roman"/>
        <family val="1"/>
        <charset val="204"/>
      </rPr>
      <t>Прибыль  основная</t>
    </r>
    <r>
      <rPr>
        <sz val="14"/>
        <color theme="1"/>
        <rFont val="Times New Roman"/>
        <family val="1"/>
        <charset val="204"/>
      </rPr>
      <t xml:space="preserve"> (Итого Расчет суммы налога на прибыль регион. бюджет)</t>
    </r>
  </si>
  <si>
    <r>
      <rPr>
        <i/>
        <sz val="14"/>
        <rFont val="Times New Roman"/>
        <family val="1"/>
        <charset val="204"/>
      </rPr>
      <t>Кр</t>
    </r>
    <r>
      <rPr>
        <sz val="14"/>
        <rFont val="Times New Roman"/>
        <family val="1"/>
        <charset val="204"/>
      </rPr>
      <t xml:space="preserve"> - поступления по контрольной работе с учетом коэф взыскания (65%)</t>
    </r>
  </si>
  <si>
    <r>
      <rPr>
        <i/>
        <sz val="14"/>
        <rFont val="Times New Roman"/>
        <family val="1"/>
        <charset val="204"/>
      </rPr>
      <t xml:space="preserve">Kсоб  </t>
    </r>
    <r>
      <rPr>
        <sz val="14"/>
        <rFont val="Times New Roman"/>
        <family val="1"/>
        <charset val="204"/>
      </rPr>
      <t>(коэффициент собираемости):</t>
    </r>
  </si>
  <si>
    <t>Начислено налога в бюджет субъекта РФ</t>
  </si>
  <si>
    <t>28.1</t>
  </si>
  <si>
    <t>28.2</t>
  </si>
  <si>
    <t>28.3</t>
  </si>
  <si>
    <t>28.4</t>
  </si>
  <si>
    <t>29.1</t>
  </si>
  <si>
    <t>29.2</t>
  </si>
  <si>
    <t>29.3</t>
  </si>
  <si>
    <t>Расчет (прогнозируемый) доход местного бюджета по налогу на прибыль организаций</t>
  </si>
  <si>
    <t>*Расчет подготовлен по данным главного администратора доходов местного бюджета.</t>
  </si>
  <si>
    <t>Директор департамента финансов администрации муниципального образования город Краснодар</t>
  </si>
  <si>
    <t>Расчет прогнозных доходов по налогу на прибыль организаций на 2025-2027 годы</t>
  </si>
  <si>
    <t xml:space="preserve">              А.С.Чулков</t>
  </si>
  <si>
    <t xml:space="preserve">   тыс. рублей</t>
  </si>
  <si>
    <t>Источники исходных данных</t>
  </si>
  <si>
    <t>№ п/п</t>
  </si>
  <si>
    <t>Оценка          2024 год</t>
  </si>
  <si>
    <t>Прогноз         2025 год</t>
  </si>
  <si>
    <t>Факт              2022 год</t>
  </si>
  <si>
    <t>Факт               2023 год</t>
  </si>
  <si>
    <t>Прогноз         2026 год</t>
  </si>
  <si>
    <t>Прогноз         2027 год</t>
  </si>
  <si>
    <t>Факт            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</si>
</sst>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#,##0.000"/>
    <numFmt numFmtId="169" formatCode="_-* #,##0.0\ _₽_-;\-* #,##0.0\ _₽_-;_-* &quot;-&quot;??\ _₽_-;_-@_-"/>
    <numFmt numFmtId="170" formatCode="_-* #,##0\ _₽_-;\-* #,##0\ _₽_-;_-* &quot;-&quot;??\ _₽_-;_-@_-"/>
    <numFmt numFmtId="171" formatCode="#,##0_ ;\-#,##0\ "/>
    <numFmt numFmtId="172" formatCode="#,##0.0_ ;\-#,##0.0\ "/>
  </numFmts>
  <fonts count="4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b/>
      <sz val="8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vertAlign val="subscript"/>
      <sz val="13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8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6"/>
      <color theme="0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5FFEA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1" fillId="0" borderId="30" applyNumberFormat="0">
      <alignment horizontal="right" vertical="top"/>
    </xf>
  </cellStyleXfs>
  <cellXfs count="30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center" vertical="center"/>
    </xf>
    <xf numFmtId="3" fontId="2" fillId="0" borderId="3" xfId="0" applyNumberFormat="1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3" fontId="2" fillId="0" borderId="7" xfId="0" applyNumberFormat="1" applyFont="1" applyBorder="1"/>
    <xf numFmtId="3" fontId="2" fillId="0" borderId="8" xfId="0" applyNumberFormat="1" applyFont="1" applyBorder="1"/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166" fontId="2" fillId="0" borderId="1" xfId="0" applyNumberFormat="1" applyFont="1" applyBorder="1"/>
    <xf numFmtId="166" fontId="2" fillId="0" borderId="8" xfId="0" applyNumberFormat="1" applyFont="1" applyBorder="1"/>
    <xf numFmtId="0" fontId="2" fillId="2" borderId="1" xfId="0" applyFont="1" applyFill="1" applyBorder="1" applyAlignment="1">
      <alignment wrapText="1"/>
    </xf>
    <xf numFmtId="3" fontId="2" fillId="2" borderId="1" xfId="0" applyNumberFormat="1" applyFont="1" applyFill="1" applyBorder="1"/>
    <xf numFmtId="3" fontId="2" fillId="2" borderId="8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166" fontId="4" fillId="2" borderId="1" xfId="0" applyNumberFormat="1" applyFont="1" applyFill="1" applyBorder="1"/>
    <xf numFmtId="4" fontId="2" fillId="0" borderId="1" xfId="0" applyNumberFormat="1" applyFont="1" applyBorder="1"/>
    <xf numFmtId="167" fontId="2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8" xfId="0" applyNumberFormat="1" applyFont="1" applyBorder="1"/>
    <xf numFmtId="0" fontId="1" fillId="0" borderId="0" xfId="0" applyFont="1"/>
    <xf numFmtId="166" fontId="4" fillId="2" borderId="8" xfId="0" applyNumberFormat="1" applyFont="1" applyFill="1" applyBorder="1"/>
    <xf numFmtId="3" fontId="0" fillId="0" borderId="0" xfId="0" applyNumberFormat="1"/>
    <xf numFmtId="4" fontId="2" fillId="0" borderId="8" xfId="0" applyNumberFormat="1" applyFont="1" applyBorder="1"/>
    <xf numFmtId="3" fontId="3" fillId="2" borderId="8" xfId="0" applyNumberFormat="1" applyFont="1" applyFill="1" applyBorder="1"/>
    <xf numFmtId="3" fontId="4" fillId="2" borderId="1" xfId="0" applyNumberFormat="1" applyFont="1" applyFill="1" applyBorder="1" applyAlignment="1">
      <alignment wrapText="1"/>
    </xf>
    <xf numFmtId="167" fontId="4" fillId="2" borderId="1" xfId="0" applyNumberFormat="1" applyFont="1" applyFill="1" applyBorder="1"/>
    <xf numFmtId="0" fontId="2" fillId="0" borderId="9" xfId="0" applyFont="1" applyBorder="1"/>
    <xf numFmtId="3" fontId="2" fillId="0" borderId="10" xfId="0" applyNumberFormat="1" applyFont="1" applyBorder="1"/>
    <xf numFmtId="0" fontId="2" fillId="0" borderId="11" xfId="0" applyFont="1" applyBorder="1"/>
    <xf numFmtId="166" fontId="2" fillId="0" borderId="12" xfId="0" applyNumberFormat="1" applyFont="1" applyBorder="1"/>
    <xf numFmtId="0" fontId="3" fillId="0" borderId="11" xfId="0" applyFont="1" applyBorder="1"/>
    <xf numFmtId="3" fontId="3" fillId="0" borderId="12" xfId="0" applyNumberFormat="1" applyFont="1" applyBorder="1"/>
    <xf numFmtId="0" fontId="4" fillId="2" borderId="11" xfId="0" applyFont="1" applyFill="1" applyBorder="1"/>
    <xf numFmtId="166" fontId="4" fillId="2" borderId="12" xfId="0" applyNumberFormat="1" applyFont="1" applyFill="1" applyBorder="1"/>
    <xf numFmtId="3" fontId="2" fillId="0" borderId="12" xfId="0" applyNumberFormat="1" applyFont="1" applyBorder="1"/>
    <xf numFmtId="4" fontId="2" fillId="0" borderId="12" xfId="0" applyNumberFormat="1" applyFont="1" applyBorder="1"/>
    <xf numFmtId="0" fontId="2" fillId="2" borderId="11" xfId="0" applyFont="1" applyFill="1" applyBorder="1"/>
    <xf numFmtId="3" fontId="2" fillId="2" borderId="12" xfId="0" applyNumberFormat="1" applyFont="1" applyFill="1" applyBorder="1"/>
    <xf numFmtId="167" fontId="2" fillId="0" borderId="12" xfId="0" applyNumberFormat="1" applyFont="1" applyBorder="1"/>
    <xf numFmtId="3" fontId="4" fillId="2" borderId="11" xfId="0" applyNumberFormat="1" applyFont="1" applyFill="1" applyBorder="1" applyAlignment="1">
      <alignment wrapText="1"/>
    </xf>
    <xf numFmtId="3" fontId="4" fillId="2" borderId="12" xfId="0" applyNumberFormat="1" applyFont="1" applyFill="1" applyBorder="1" applyAlignment="1">
      <alignment wrapText="1"/>
    </xf>
    <xf numFmtId="0" fontId="4" fillId="2" borderId="12" xfId="0" applyFont="1" applyFill="1" applyBorder="1"/>
    <xf numFmtId="0" fontId="2" fillId="0" borderId="13" xfId="0" applyFont="1" applyBorder="1"/>
    <xf numFmtId="0" fontId="2" fillId="0" borderId="14" xfId="0" applyFont="1" applyBorder="1"/>
    <xf numFmtId="166" fontId="2" fillId="0" borderId="14" xfId="0" applyNumberFormat="1" applyFont="1" applyBorder="1"/>
    <xf numFmtId="166" fontId="2" fillId="0" borderId="15" xfId="0" applyNumberFormat="1" applyFont="1" applyBorder="1"/>
    <xf numFmtId="0" fontId="4" fillId="0" borderId="11" xfId="0" applyFont="1" applyBorder="1"/>
    <xf numFmtId="0" fontId="4" fillId="0" borderId="1" xfId="0" applyFont="1" applyBorder="1" applyAlignment="1">
      <alignment wrapText="1"/>
    </xf>
    <xf numFmtId="3" fontId="4" fillId="0" borderId="1" xfId="0" applyNumberFormat="1" applyFont="1" applyBorder="1"/>
    <xf numFmtId="3" fontId="4" fillId="0" borderId="8" xfId="0" applyNumberFormat="1" applyFont="1" applyBorder="1"/>
    <xf numFmtId="3" fontId="4" fillId="0" borderId="12" xfId="0" applyNumberFormat="1" applyFont="1" applyBorder="1"/>
    <xf numFmtId="0" fontId="0" fillId="0" borderId="1" xfId="0" applyBorder="1"/>
    <xf numFmtId="0" fontId="1" fillId="0" borderId="1" xfId="0" applyFont="1" applyBorder="1"/>
    <xf numFmtId="2" fontId="2" fillId="0" borderId="1" xfId="0" applyNumberFormat="1" applyFont="1" applyBorder="1" applyAlignment="1">
      <alignment wrapText="1"/>
    </xf>
    <xf numFmtId="0" fontId="2" fillId="0" borderId="8" xfId="0" applyFont="1" applyBorder="1"/>
    <xf numFmtId="3" fontId="2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166" fontId="3" fillId="0" borderId="1" xfId="0" applyNumberFormat="1" applyFont="1" applyBorder="1"/>
    <xf numFmtId="168" fontId="3" fillId="0" borderId="1" xfId="0" applyNumberFormat="1" applyFont="1" applyBorder="1"/>
    <xf numFmtId="167" fontId="0" fillId="0" borderId="1" xfId="0" applyNumberFormat="1" applyBorder="1" applyAlignment="1">
      <alignment wrapText="1"/>
    </xf>
    <xf numFmtId="167" fontId="0" fillId="0" borderId="0" xfId="0" applyNumberFormat="1"/>
    <xf numFmtId="0" fontId="2" fillId="0" borderId="1" xfId="0" applyNumberFormat="1" applyFont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3" fontId="6" fillId="2" borderId="1" xfId="0" applyNumberFormat="1" applyFont="1" applyFill="1" applyBorder="1"/>
    <xf numFmtId="3" fontId="4" fillId="2" borderId="1" xfId="0" applyNumberFormat="1" applyFont="1" applyFill="1" applyBorder="1"/>
    <xf numFmtId="4" fontId="4" fillId="2" borderId="1" xfId="0" applyNumberFormat="1" applyFont="1" applyFill="1" applyBorder="1"/>
    <xf numFmtId="167" fontId="4" fillId="2" borderId="1" xfId="0" applyNumberFormat="1" applyFont="1" applyFill="1" applyBorder="1" applyAlignment="1">
      <alignment wrapText="1"/>
    </xf>
    <xf numFmtId="166" fontId="6" fillId="2" borderId="1" xfId="0" applyNumberFormat="1" applyFont="1" applyFill="1" applyBorder="1"/>
    <xf numFmtId="168" fontId="2" fillId="0" borderId="1" xfId="0" applyNumberFormat="1" applyFont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3" fontId="3" fillId="3" borderId="1" xfId="0" applyNumberFormat="1" applyFont="1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7" fontId="7" fillId="0" borderId="12" xfId="0" applyNumberFormat="1" applyFont="1" applyBorder="1"/>
    <xf numFmtId="167" fontId="7" fillId="2" borderId="12" xfId="0" applyNumberFormat="1" applyFont="1" applyFill="1" applyBorder="1"/>
    <xf numFmtId="167" fontId="7" fillId="3" borderId="12" xfId="0" applyNumberFormat="1" applyFont="1" applyFill="1" applyBorder="1"/>
    <xf numFmtId="167" fontId="8" fillId="3" borderId="12" xfId="0" applyNumberFormat="1" applyFont="1" applyFill="1" applyBorder="1"/>
    <xf numFmtId="167" fontId="8" fillId="0" borderId="12" xfId="0" applyNumberFormat="1" applyFont="1" applyBorder="1"/>
    <xf numFmtId="0" fontId="7" fillId="0" borderId="19" xfId="0" applyFont="1" applyBorder="1"/>
    <xf numFmtId="0" fontId="0" fillId="0" borderId="9" xfId="0" applyBorder="1"/>
    <xf numFmtId="0" fontId="2" fillId="0" borderId="3" xfId="0" applyFont="1" applyBorder="1"/>
    <xf numFmtId="3" fontId="2" fillId="0" borderId="3" xfId="0" applyNumberFormat="1" applyFont="1" applyBorder="1" applyAlignment="1">
      <alignment wrapText="1"/>
    </xf>
    <xf numFmtId="167" fontId="7" fillId="0" borderId="10" xfId="0" applyNumberFormat="1" applyFont="1" applyBorder="1"/>
    <xf numFmtId="0" fontId="0" fillId="0" borderId="10" xfId="0" applyBorder="1"/>
    <xf numFmtId="0" fontId="0" fillId="0" borderId="21" xfId="0" applyBorder="1"/>
    <xf numFmtId="0" fontId="0" fillId="0" borderId="4" xfId="0" applyBorder="1"/>
    <xf numFmtId="2" fontId="3" fillId="0" borderId="5" xfId="0" applyNumberFormat="1" applyFont="1" applyBorder="1" applyAlignment="1">
      <alignment wrapText="1"/>
    </xf>
    <xf numFmtId="0" fontId="6" fillId="0" borderId="2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9" fillId="0" borderId="0" xfId="0" applyFont="1"/>
    <xf numFmtId="3" fontId="2" fillId="0" borderId="11" xfId="0" applyNumberFormat="1" applyFont="1" applyBorder="1"/>
    <xf numFmtId="3" fontId="2" fillId="0" borderId="17" xfId="0" applyNumberFormat="1" applyFont="1" applyBorder="1"/>
    <xf numFmtId="3" fontId="2" fillId="0" borderId="19" xfId="0" applyNumberFormat="1" applyFont="1" applyBorder="1"/>
    <xf numFmtId="1" fontId="0" fillId="0" borderId="0" xfId="0" applyNumberFormat="1"/>
    <xf numFmtId="167" fontId="0" fillId="0" borderId="11" xfId="0" applyNumberFormat="1" applyBorder="1"/>
    <xf numFmtId="3" fontId="1" fillId="0" borderId="0" xfId="0" applyNumberFormat="1" applyFont="1"/>
    <xf numFmtId="3" fontId="2" fillId="0" borderId="9" xfId="0" applyNumberFormat="1" applyFont="1" applyBorder="1"/>
    <xf numFmtId="166" fontId="2" fillId="0" borderId="11" xfId="0" applyNumberFormat="1" applyFont="1" applyBorder="1"/>
    <xf numFmtId="166" fontId="2" fillId="0" borderId="10" xfId="0" applyNumberFormat="1" applyFont="1" applyBorder="1"/>
    <xf numFmtId="1" fontId="3" fillId="0" borderId="1" xfId="0" applyNumberFormat="1" applyFont="1" applyBorder="1"/>
    <xf numFmtId="3" fontId="10" fillId="0" borderId="1" xfId="0" applyNumberFormat="1" applyFont="1" applyBorder="1"/>
    <xf numFmtId="167" fontId="2" fillId="0" borderId="10" xfId="0" applyNumberFormat="1" applyFont="1" applyBorder="1"/>
    <xf numFmtId="0" fontId="2" fillId="2" borderId="1" xfId="0" applyFont="1" applyFill="1" applyBorder="1"/>
    <xf numFmtId="167" fontId="2" fillId="2" borderId="1" xfId="0" applyNumberFormat="1" applyFont="1" applyFill="1" applyBorder="1"/>
    <xf numFmtId="3" fontId="11" fillId="0" borderId="1" xfId="0" applyNumberFormat="1" applyFont="1" applyBorder="1"/>
    <xf numFmtId="3" fontId="11" fillId="0" borderId="0" xfId="0" applyNumberFormat="1" applyFont="1"/>
    <xf numFmtId="3" fontId="12" fillId="0" borderId="0" xfId="0" applyNumberFormat="1" applyFont="1"/>
    <xf numFmtId="3" fontId="2" fillId="0" borderId="21" xfId="0" applyNumberFormat="1" applyFont="1" applyBorder="1"/>
    <xf numFmtId="3" fontId="2" fillId="0" borderId="20" xfId="0" applyNumberFormat="1" applyFont="1" applyBorder="1"/>
    <xf numFmtId="3" fontId="2" fillId="0" borderId="18" xfId="0" applyNumberFormat="1" applyFont="1" applyBorder="1"/>
    <xf numFmtId="0" fontId="6" fillId="0" borderId="6" xfId="0" applyFont="1" applyBorder="1" applyAlignment="1">
      <alignment horizontal="center" vertical="center" wrapText="1"/>
    </xf>
    <xf numFmtId="3" fontId="3" fillId="2" borderId="0" xfId="0" applyNumberFormat="1" applyFont="1" applyFill="1"/>
    <xf numFmtId="0" fontId="3" fillId="0" borderId="0" xfId="0" applyFont="1"/>
    <xf numFmtId="3" fontId="3" fillId="0" borderId="0" xfId="0" applyNumberFormat="1" applyFont="1"/>
    <xf numFmtId="167" fontId="3" fillId="0" borderId="0" xfId="0" applyNumberFormat="1" applyFont="1"/>
    <xf numFmtId="0" fontId="14" fillId="0" borderId="0" xfId="0" applyFont="1"/>
    <xf numFmtId="0" fontId="15" fillId="0" borderId="0" xfId="0" applyFont="1"/>
    <xf numFmtId="3" fontId="15" fillId="0" borderId="1" xfId="0" applyNumberFormat="1" applyFont="1" applyBorder="1" applyAlignment="1">
      <alignment wrapText="1"/>
    </xf>
    <xf numFmtId="3" fontId="15" fillId="2" borderId="1" xfId="0" applyNumberFormat="1" applyFont="1" applyFill="1" applyBorder="1" applyAlignment="1">
      <alignment wrapText="1"/>
    </xf>
    <xf numFmtId="3" fontId="15" fillId="0" borderId="3" xfId="0" applyNumberFormat="1" applyFont="1" applyBorder="1" applyAlignment="1">
      <alignment wrapText="1"/>
    </xf>
    <xf numFmtId="166" fontId="15" fillId="0" borderId="1" xfId="0" applyNumberFormat="1" applyFont="1" applyBorder="1" applyAlignment="1">
      <alignment wrapText="1"/>
    </xf>
    <xf numFmtId="166" fontId="15" fillId="2" borderId="1" xfId="0" applyNumberFormat="1" applyFont="1" applyFill="1" applyBorder="1" applyAlignment="1">
      <alignment wrapText="1"/>
    </xf>
    <xf numFmtId="4" fontId="15" fillId="0" borderId="1" xfId="0" applyNumberFormat="1" applyFont="1" applyBorder="1" applyAlignment="1">
      <alignment wrapText="1"/>
    </xf>
    <xf numFmtId="4" fontId="15" fillId="2" borderId="1" xfId="0" applyNumberFormat="1" applyFont="1" applyFill="1" applyBorder="1" applyAlignment="1">
      <alignment wrapText="1"/>
    </xf>
    <xf numFmtId="168" fontId="15" fillId="0" borderId="1" xfId="0" applyNumberFormat="1" applyFont="1" applyBorder="1" applyAlignment="1">
      <alignment wrapText="1"/>
    </xf>
    <xf numFmtId="168" fontId="15" fillId="2" borderId="1" xfId="0" applyNumberFormat="1" applyFont="1" applyFill="1" applyBorder="1" applyAlignment="1">
      <alignment wrapText="1"/>
    </xf>
    <xf numFmtId="0" fontId="15" fillId="0" borderId="1" xfId="0" applyFont="1" applyBorder="1"/>
    <xf numFmtId="3" fontId="14" fillId="2" borderId="1" xfId="0" applyNumberFormat="1" applyFont="1" applyFill="1" applyBorder="1"/>
    <xf numFmtId="0" fontId="15" fillId="2" borderId="1" xfId="0" applyFont="1" applyFill="1" applyBorder="1"/>
    <xf numFmtId="3" fontId="15" fillId="0" borderId="1" xfId="0" applyNumberFormat="1" applyFont="1" applyBorder="1"/>
    <xf numFmtId="169" fontId="15" fillId="0" borderId="0" xfId="1" applyNumberFormat="1" applyFont="1"/>
    <xf numFmtId="3" fontId="15" fillId="0" borderId="0" xfId="0" applyNumberFormat="1" applyFont="1"/>
    <xf numFmtId="3" fontId="14" fillId="0" borderId="0" xfId="0" applyNumberFormat="1" applyFont="1"/>
    <xf numFmtId="3" fontId="16" fillId="2" borderId="1" xfId="0" applyNumberFormat="1" applyFont="1" applyFill="1" applyBorder="1"/>
    <xf numFmtId="0" fontId="21" fillId="0" borderId="0" xfId="0" applyFont="1"/>
    <xf numFmtId="0" fontId="22" fillId="0" borderId="29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4" fillId="0" borderId="0" xfId="0" applyFont="1"/>
    <xf numFmtId="0" fontId="9" fillId="0" borderId="28" xfId="0" applyFont="1" applyFill="1" applyBorder="1"/>
    <xf numFmtId="166" fontId="0" fillId="0" borderId="0" xfId="0" applyNumberFormat="1"/>
    <xf numFmtId="0" fontId="0" fillId="0" borderId="0" xfId="0"/>
    <xf numFmtId="0" fontId="26" fillId="0" borderId="0" xfId="0" applyFont="1"/>
    <xf numFmtId="1" fontId="0" fillId="0" borderId="1" xfId="0" applyNumberFormat="1" applyBorder="1"/>
    <xf numFmtId="0" fontId="30" fillId="0" borderId="0" xfId="0" applyFont="1" applyBorder="1" applyAlignment="1">
      <alignment horizontal="center" vertical="top" wrapText="1"/>
    </xf>
    <xf numFmtId="38" fontId="32" fillId="0" borderId="30" xfId="3" applyNumberFormat="1" applyFont="1" applyFill="1">
      <alignment horizontal="right" vertical="top"/>
    </xf>
    <xf numFmtId="0" fontId="30" fillId="0" borderId="1" xfId="0" applyFont="1" applyBorder="1" applyAlignment="1">
      <alignment vertical="top" wrapText="1"/>
    </xf>
    <xf numFmtId="3" fontId="33" fillId="0" borderId="1" xfId="0" applyNumberFormat="1" applyFont="1" applyBorder="1" applyAlignment="1">
      <alignment horizontal="right"/>
    </xf>
    <xf numFmtId="0" fontId="30" fillId="0" borderId="1" xfId="0" applyFont="1" applyBorder="1"/>
    <xf numFmtId="3" fontId="0" fillId="2" borderId="1" xfId="0" applyNumberFormat="1" applyFill="1" applyBorder="1"/>
    <xf numFmtId="3" fontId="1" fillId="0" borderId="1" xfId="0" applyNumberFormat="1" applyFont="1" applyBorder="1"/>
    <xf numFmtId="3" fontId="7" fillId="0" borderId="1" xfId="0" applyNumberFormat="1" applyFont="1" applyBorder="1" applyAlignment="1">
      <alignment wrapText="1"/>
    </xf>
    <xf numFmtId="3" fontId="7" fillId="0" borderId="1" xfId="0" applyNumberFormat="1" applyFont="1" applyBorder="1"/>
    <xf numFmtId="0" fontId="7" fillId="0" borderId="1" xfId="0" applyFont="1" applyBorder="1"/>
    <xf numFmtId="3" fontId="26" fillId="0" borderId="0" xfId="0" applyNumberFormat="1" applyFont="1"/>
    <xf numFmtId="0" fontId="23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3" fontId="23" fillId="4" borderId="22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2" xfId="0" applyFont="1" applyBorder="1" applyAlignment="1">
      <alignment horizontal="center" vertical="center" wrapText="1"/>
    </xf>
    <xf numFmtId="3" fontId="23" fillId="5" borderId="24" xfId="0" applyNumberFormat="1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left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0" fontId="34" fillId="0" borderId="25" xfId="0" applyFont="1" applyFill="1" applyBorder="1" applyAlignment="1">
      <alignment horizontal="left" vertical="center" wrapText="1"/>
    </xf>
    <xf numFmtId="166" fontId="23" fillId="5" borderId="2" xfId="0" applyNumberFormat="1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166" fontId="23" fillId="0" borderId="31" xfId="0" applyNumberFormat="1" applyFont="1" applyFill="1" applyBorder="1" applyAlignment="1">
      <alignment horizontal="center" vertical="center"/>
    </xf>
    <xf numFmtId="0" fontId="34" fillId="0" borderId="26" xfId="0" applyFont="1" applyFill="1" applyBorder="1" applyAlignment="1">
      <alignment horizontal="left" vertical="center" wrapText="1"/>
    </xf>
    <xf numFmtId="3" fontId="23" fillId="0" borderId="15" xfId="0" applyNumberFormat="1" applyFont="1" applyFill="1" applyBorder="1" applyAlignment="1">
      <alignment horizontal="center" vertical="center"/>
    </xf>
    <xf numFmtId="3" fontId="34" fillId="0" borderId="18" xfId="0" applyNumberFormat="1" applyFont="1" applyFill="1" applyBorder="1" applyAlignment="1">
      <alignment horizontal="left" vertical="center" wrapText="1"/>
    </xf>
    <xf numFmtId="3" fontId="23" fillId="2" borderId="15" xfId="0" applyNumberFormat="1" applyFont="1" applyFill="1" applyBorder="1" applyAlignment="1">
      <alignment horizontal="center" vertical="center"/>
    </xf>
    <xf numFmtId="166" fontId="23" fillId="0" borderId="15" xfId="0" applyNumberFormat="1" applyFont="1" applyFill="1" applyBorder="1" applyAlignment="1">
      <alignment horizontal="center" vertical="center"/>
    </xf>
    <xf numFmtId="0" fontId="22" fillId="3" borderId="25" xfId="0" applyFont="1" applyFill="1" applyBorder="1" applyAlignment="1">
      <alignment horizontal="center" vertical="center"/>
    </xf>
    <xf numFmtId="0" fontId="23" fillId="3" borderId="26" xfId="0" applyFont="1" applyFill="1" applyBorder="1" applyAlignment="1">
      <alignment horizontal="left" vertical="center" wrapText="1"/>
    </xf>
    <xf numFmtId="0" fontId="35" fillId="3" borderId="2" xfId="0" applyFont="1" applyFill="1" applyBorder="1" applyAlignment="1">
      <alignment horizontal="center" vertical="center" wrapText="1"/>
    </xf>
    <xf numFmtId="3" fontId="23" fillId="3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3" fontId="38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25" fillId="0" borderId="0" xfId="0" applyFont="1" applyFill="1" applyBorder="1" applyAlignment="1">
      <alignment vertical="top"/>
    </xf>
    <xf numFmtId="0" fontId="0" fillId="0" borderId="0" xfId="0" applyAlignment="1">
      <alignment vertical="top"/>
    </xf>
    <xf numFmtId="0" fontId="27" fillId="0" borderId="0" xfId="0" applyFont="1" applyFill="1" applyAlignment="1">
      <alignment vertical="top"/>
    </xf>
    <xf numFmtId="166" fontId="18" fillId="0" borderId="1" xfId="0" applyNumberFormat="1" applyFont="1" applyFill="1" applyBorder="1" applyAlignment="1">
      <alignment vertical="top"/>
    </xf>
    <xf numFmtId="3" fontId="17" fillId="0" borderId="1" xfId="0" applyNumberFormat="1" applyFont="1" applyFill="1" applyBorder="1" applyAlignment="1">
      <alignment vertical="top"/>
    </xf>
    <xf numFmtId="166" fontId="19" fillId="0" borderId="1" xfId="0" applyNumberFormat="1" applyFont="1" applyFill="1" applyBorder="1" applyAlignment="1">
      <alignment vertical="top"/>
    </xf>
    <xf numFmtId="0" fontId="0" fillId="0" borderId="1" xfId="0" applyBorder="1" applyAlignment="1">
      <alignment vertical="top"/>
    </xf>
    <xf numFmtId="3" fontId="38" fillId="0" borderId="1" xfId="0" applyNumberFormat="1" applyFont="1" applyFill="1" applyBorder="1" applyAlignment="1">
      <alignment vertical="top"/>
    </xf>
    <xf numFmtId="3" fontId="19" fillId="2" borderId="0" xfId="0" applyNumberFormat="1" applyFont="1" applyFill="1" applyBorder="1" applyAlignment="1">
      <alignment vertical="top"/>
    </xf>
    <xf numFmtId="0" fontId="27" fillId="0" borderId="0" xfId="0" applyFont="1" applyAlignment="1">
      <alignment vertical="top"/>
    </xf>
    <xf numFmtId="3" fontId="29" fillId="0" borderId="0" xfId="0" applyNumberFormat="1" applyFont="1" applyAlignment="1">
      <alignment vertical="top"/>
    </xf>
    <xf numFmtId="3" fontId="14" fillId="0" borderId="0" xfId="0" applyNumberFormat="1" applyFont="1" applyAlignment="1">
      <alignment vertical="top"/>
    </xf>
    <xf numFmtId="170" fontId="39" fillId="0" borderId="1" xfId="1" applyNumberFormat="1" applyFont="1" applyFill="1" applyBorder="1" applyAlignment="1">
      <alignment vertical="top"/>
    </xf>
    <xf numFmtId="166" fontId="39" fillId="0" borderId="1" xfId="1" applyNumberFormat="1" applyFont="1" applyFill="1" applyBorder="1" applyAlignment="1">
      <alignment vertical="top"/>
    </xf>
    <xf numFmtId="3" fontId="39" fillId="0" borderId="1" xfId="0" applyNumberFormat="1" applyFont="1" applyFill="1" applyBorder="1" applyAlignment="1">
      <alignment vertical="top"/>
    </xf>
    <xf numFmtId="4" fontId="39" fillId="0" borderId="1" xfId="1" applyNumberFormat="1" applyFont="1" applyFill="1" applyBorder="1" applyAlignment="1">
      <alignment vertical="top"/>
    </xf>
    <xf numFmtId="171" fontId="39" fillId="0" borderId="1" xfId="1" applyNumberFormat="1" applyFont="1" applyFill="1" applyBorder="1" applyAlignment="1">
      <alignment vertical="top"/>
    </xf>
    <xf numFmtId="49" fontId="40" fillId="0" borderId="1" xfId="0" applyNumberFormat="1" applyFont="1" applyFill="1" applyBorder="1" applyAlignment="1">
      <alignment vertical="top"/>
    </xf>
    <xf numFmtId="0" fontId="38" fillId="0" borderId="1" xfId="0" applyFont="1" applyFill="1" applyBorder="1" applyAlignment="1">
      <alignment vertical="top"/>
    </xf>
    <xf numFmtId="166" fontId="39" fillId="0" borderId="1" xfId="0" applyNumberFormat="1" applyFont="1" applyFill="1" applyBorder="1" applyAlignment="1">
      <alignment vertical="top"/>
    </xf>
    <xf numFmtId="4" fontId="40" fillId="0" borderId="1" xfId="0" applyNumberFormat="1" applyFont="1" applyFill="1" applyBorder="1" applyAlignment="1">
      <alignment vertical="top"/>
    </xf>
    <xf numFmtId="169" fontId="39" fillId="0" borderId="1" xfId="1" applyNumberFormat="1" applyFont="1" applyFill="1" applyBorder="1" applyAlignment="1">
      <alignment vertical="top"/>
    </xf>
    <xf numFmtId="170" fontId="40" fillId="0" borderId="1" xfId="1" applyNumberFormat="1" applyFont="1" applyFill="1" applyBorder="1" applyAlignment="1">
      <alignment vertical="top"/>
    </xf>
    <xf numFmtId="3" fontId="38" fillId="0" borderId="1" xfId="0" applyNumberFormat="1" applyFont="1" applyFill="1" applyBorder="1" applyAlignment="1">
      <alignment vertical="top" wrapText="1"/>
    </xf>
    <xf numFmtId="166" fontId="40" fillId="0" borderId="1" xfId="0" applyNumberFormat="1" applyFont="1" applyFill="1" applyBorder="1" applyAlignment="1">
      <alignment vertical="top"/>
    </xf>
    <xf numFmtId="0" fontId="42" fillId="0" borderId="1" xfId="0" applyFont="1" applyFill="1" applyBorder="1" applyAlignment="1">
      <alignment vertical="top"/>
    </xf>
    <xf numFmtId="3" fontId="40" fillId="0" borderId="1" xfId="0" applyNumberFormat="1" applyFont="1" applyFill="1" applyBorder="1" applyAlignment="1">
      <alignment vertical="top"/>
    </xf>
    <xf numFmtId="3" fontId="40" fillId="0" borderId="1" xfId="0" applyNumberFormat="1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166" fontId="38" fillId="0" borderId="1" xfId="0" applyNumberFormat="1" applyFont="1" applyFill="1" applyBorder="1" applyAlignment="1">
      <alignment vertical="top"/>
    </xf>
    <xf numFmtId="166" fontId="38" fillId="0" borderId="1" xfId="0" applyNumberFormat="1" applyFont="1" applyFill="1" applyBorder="1" applyAlignment="1">
      <alignment vertical="top" wrapText="1"/>
    </xf>
    <xf numFmtId="4" fontId="38" fillId="0" borderId="1" xfId="0" applyNumberFormat="1" applyFont="1" applyFill="1" applyBorder="1" applyAlignment="1">
      <alignment vertical="top"/>
    </xf>
    <xf numFmtId="0" fontId="40" fillId="0" borderId="1" xfId="0" applyFont="1" applyFill="1" applyBorder="1" applyAlignment="1">
      <alignment vertical="top" wrapText="1"/>
    </xf>
    <xf numFmtId="164" fontId="39" fillId="0" borderId="1" xfId="1" applyNumberFormat="1" applyFont="1" applyFill="1" applyBorder="1" applyAlignment="1">
      <alignment vertical="top"/>
    </xf>
    <xf numFmtId="164" fontId="40" fillId="0" borderId="1" xfId="1" applyNumberFormat="1" applyFont="1" applyFill="1" applyBorder="1" applyAlignment="1">
      <alignment vertical="top"/>
    </xf>
    <xf numFmtId="2" fontId="39" fillId="0" borderId="1" xfId="0" applyNumberFormat="1" applyFont="1" applyFill="1" applyBorder="1" applyAlignment="1">
      <alignment vertical="top"/>
    </xf>
    <xf numFmtId="0" fontId="40" fillId="0" borderId="1" xfId="0" applyFont="1" applyFill="1" applyBorder="1" applyAlignment="1">
      <alignment vertical="top"/>
    </xf>
    <xf numFmtId="4" fontId="39" fillId="0" borderId="1" xfId="0" applyNumberFormat="1" applyFont="1" applyFill="1" applyBorder="1" applyAlignment="1">
      <alignment vertical="top"/>
    </xf>
    <xf numFmtId="170" fontId="40" fillId="0" borderId="1" xfId="1" applyNumberFormat="1" applyFont="1" applyFill="1" applyBorder="1" applyAlignment="1">
      <alignment vertical="top" wrapText="1"/>
    </xf>
    <xf numFmtId="170" fontId="38" fillId="0" borderId="1" xfId="1" applyNumberFormat="1" applyFont="1" applyFill="1" applyBorder="1" applyAlignment="1">
      <alignment vertical="top" wrapText="1"/>
    </xf>
    <xf numFmtId="169" fontId="40" fillId="0" borderId="1" xfId="1" applyNumberFormat="1" applyFont="1" applyFill="1" applyBorder="1" applyAlignment="1">
      <alignment vertical="top"/>
    </xf>
    <xf numFmtId="169" fontId="38" fillId="0" borderId="1" xfId="1" applyNumberFormat="1" applyFont="1" applyFill="1" applyBorder="1" applyAlignment="1">
      <alignment vertical="top"/>
    </xf>
    <xf numFmtId="170" fontId="38" fillId="0" borderId="1" xfId="1" applyNumberFormat="1" applyFont="1" applyFill="1" applyBorder="1" applyAlignment="1">
      <alignment vertical="top"/>
    </xf>
    <xf numFmtId="172" fontId="39" fillId="0" borderId="1" xfId="1" applyNumberFormat="1" applyFont="1" applyFill="1" applyBorder="1" applyAlignment="1">
      <alignment vertical="top"/>
    </xf>
    <xf numFmtId="172" fontId="40" fillId="0" borderId="1" xfId="1" applyNumberFormat="1" applyFont="1" applyFill="1" applyBorder="1" applyAlignment="1">
      <alignment vertical="top"/>
    </xf>
    <xf numFmtId="0" fontId="41" fillId="0" borderId="1" xfId="0" applyFont="1" applyFill="1" applyBorder="1" applyAlignment="1">
      <alignment vertical="top" wrapText="1"/>
    </xf>
    <xf numFmtId="166" fontId="41" fillId="0" borderId="1" xfId="0" applyNumberFormat="1" applyFont="1" applyFill="1" applyBorder="1" applyAlignment="1">
      <alignment vertical="top" wrapText="1"/>
    </xf>
    <xf numFmtId="0" fontId="38" fillId="0" borderId="1" xfId="0" applyFont="1" applyFill="1" applyBorder="1" applyAlignment="1">
      <alignment horizontal="center" vertical="top"/>
    </xf>
    <xf numFmtId="0" fontId="38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3" fontId="39" fillId="0" borderId="1" xfId="0" applyNumberFormat="1" applyFont="1" applyFill="1" applyBorder="1" applyAlignment="1">
      <alignment horizontal="center" vertical="center"/>
    </xf>
    <xf numFmtId="3" fontId="3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/>
    </xf>
    <xf numFmtId="0" fontId="40" fillId="0" borderId="1" xfId="0" applyFont="1" applyFill="1" applyBorder="1" applyAlignment="1">
      <alignment horizontal="center" vertical="top"/>
    </xf>
    <xf numFmtId="166" fontId="40" fillId="0" borderId="1" xfId="0" applyNumberFormat="1" applyFont="1" applyFill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40" fillId="0" borderId="1" xfId="0" applyNumberFormat="1" applyFont="1" applyFill="1" applyBorder="1" applyAlignment="1">
      <alignment horizontal="center" vertical="top"/>
    </xf>
    <xf numFmtId="49" fontId="38" fillId="0" borderId="1" xfId="0" applyNumberFormat="1" applyFont="1" applyFill="1" applyBorder="1" applyAlignment="1">
      <alignment horizontal="center" vertical="top"/>
    </xf>
    <xf numFmtId="0" fontId="25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horizontal="left" vertical="top" wrapText="1"/>
    </xf>
    <xf numFmtId="0" fontId="38" fillId="0" borderId="0" xfId="0" applyFont="1" applyFill="1" applyAlignment="1">
      <alignment horizontal="right" vertical="top"/>
    </xf>
    <xf numFmtId="0" fontId="0" fillId="5" borderId="0" xfId="0" applyFill="1" applyAlignment="1">
      <alignment vertical="top"/>
    </xf>
    <xf numFmtId="3" fontId="19" fillId="5" borderId="0" xfId="0" applyNumberFormat="1" applyFont="1" applyFill="1" applyBorder="1" applyAlignment="1">
      <alignment vertical="top"/>
    </xf>
    <xf numFmtId="0" fontId="27" fillId="5" borderId="0" xfId="0" applyFont="1" applyFill="1" applyAlignment="1">
      <alignment vertical="top"/>
    </xf>
    <xf numFmtId="3" fontId="44" fillId="5" borderId="0" xfId="0" applyNumberFormat="1" applyFont="1" applyFill="1" applyBorder="1" applyAlignment="1">
      <alignment vertical="top"/>
    </xf>
    <xf numFmtId="166" fontId="44" fillId="5" borderId="0" xfId="0" applyNumberFormat="1" applyFont="1" applyFill="1" applyBorder="1" applyAlignment="1">
      <alignment vertical="top"/>
    </xf>
    <xf numFmtId="0" fontId="43" fillId="5" borderId="0" xfId="0" applyFont="1" applyFill="1" applyAlignment="1">
      <alignment vertical="top"/>
    </xf>
    <xf numFmtId="0" fontId="47" fillId="5" borderId="0" xfId="0" applyFont="1" applyFill="1" applyAlignment="1">
      <alignment vertical="top"/>
    </xf>
    <xf numFmtId="0" fontId="43" fillId="5" borderId="0" xfId="0" applyFont="1" applyFill="1" applyBorder="1" applyAlignment="1">
      <alignment vertical="top"/>
    </xf>
    <xf numFmtId="3" fontId="44" fillId="5" borderId="0" xfId="0" applyNumberFormat="1" applyFont="1" applyFill="1" applyBorder="1" applyAlignment="1">
      <alignment vertical="top" wrapText="1"/>
    </xf>
    <xf numFmtId="3" fontId="43" fillId="5" borderId="0" xfId="0" applyNumberFormat="1" applyFont="1" applyFill="1" applyBorder="1" applyAlignment="1">
      <alignment vertical="top"/>
    </xf>
    <xf numFmtId="3" fontId="45" fillId="5" borderId="0" xfId="0" applyNumberFormat="1" applyFont="1" applyFill="1" applyBorder="1" applyAlignment="1">
      <alignment vertical="top" wrapText="1"/>
    </xf>
    <xf numFmtId="49" fontId="46" fillId="5" borderId="0" xfId="0" applyNumberFormat="1" applyFont="1" applyFill="1" applyBorder="1" applyAlignment="1">
      <alignment vertical="top"/>
    </xf>
    <xf numFmtId="0" fontId="48" fillId="5" borderId="0" xfId="0" applyFont="1" applyFill="1" applyAlignment="1">
      <alignment horizontal="left" vertical="top"/>
    </xf>
    <xf numFmtId="3" fontId="48" fillId="5" borderId="0" xfId="0" applyNumberFormat="1" applyFont="1" applyFill="1" applyAlignment="1">
      <alignment horizontal="center" vertical="top"/>
    </xf>
    <xf numFmtId="3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" fontId="38" fillId="0" borderId="1" xfId="0" applyNumberFormat="1" applyFont="1" applyFill="1" applyBorder="1" applyAlignment="1">
      <alignment horizontal="center"/>
    </xf>
    <xf numFmtId="3" fontId="40" fillId="0" borderId="1" xfId="0" applyNumberFormat="1" applyFont="1" applyFill="1" applyBorder="1" applyAlignment="1">
      <alignment horizontal="center"/>
    </xf>
    <xf numFmtId="3" fontId="39" fillId="0" borderId="1" xfId="0" applyNumberFormat="1" applyFont="1" applyFill="1" applyBorder="1" applyAlignment="1">
      <alignment horizontal="center"/>
    </xf>
    <xf numFmtId="166" fontId="40" fillId="0" borderId="1" xfId="0" applyNumberFormat="1" applyFont="1" applyFill="1" applyBorder="1" applyAlignment="1">
      <alignment horizontal="center"/>
    </xf>
    <xf numFmtId="4" fontId="40" fillId="0" borderId="1" xfId="0" applyNumberFormat="1" applyFont="1" applyFill="1" applyBorder="1" applyAlignment="1">
      <alignment horizontal="center"/>
    </xf>
    <xf numFmtId="170" fontId="40" fillId="0" borderId="1" xfId="1" applyNumberFormat="1" applyFont="1" applyFill="1" applyBorder="1" applyAlignment="1">
      <alignment horizontal="center"/>
    </xf>
    <xf numFmtId="170" fontId="40" fillId="0" borderId="1" xfId="1" applyNumberFormat="1" applyFont="1" applyFill="1" applyBorder="1" applyAlignment="1">
      <alignment horizontal="center" wrapText="1"/>
    </xf>
    <xf numFmtId="169" fontId="40" fillId="0" borderId="1" xfId="1" applyNumberFormat="1" applyFont="1" applyFill="1" applyBorder="1" applyAlignment="1">
      <alignment horizontal="center"/>
    </xf>
    <xf numFmtId="172" fontId="40" fillId="0" borderId="1" xfId="1" applyNumberFormat="1" applyFont="1" applyFill="1" applyBorder="1" applyAlignment="1">
      <alignment horizontal="center"/>
    </xf>
    <xf numFmtId="170" fontId="38" fillId="0" borderId="1" xfId="1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/>
    </xf>
    <xf numFmtId="0" fontId="38" fillId="0" borderId="1" xfId="0" applyFont="1" applyBorder="1" applyAlignment="1">
      <alignment horizontal="center"/>
    </xf>
    <xf numFmtId="0" fontId="28" fillId="0" borderId="0" xfId="0" applyFont="1" applyAlignment="1">
      <alignment vertical="top"/>
    </xf>
    <xf numFmtId="0" fontId="0" fillId="0" borderId="0" xfId="0" applyAlignment="1"/>
    <xf numFmtId="0" fontId="20" fillId="0" borderId="0" xfId="0" applyNumberFormat="1" applyFont="1" applyFill="1" applyAlignment="1">
      <alignment horizontal="center" vertical="center" wrapText="1"/>
    </xf>
    <xf numFmtId="0" fontId="40" fillId="0" borderId="1" xfId="0" applyFont="1" applyFill="1" applyBorder="1" applyAlignment="1">
      <alignment horizontal="left"/>
    </xf>
    <xf numFmtId="0" fontId="38" fillId="0" borderId="1" xfId="0" applyFont="1" applyFill="1" applyBorder="1" applyAlignment="1">
      <alignment horizontal="left" vertical="center"/>
    </xf>
    <xf numFmtId="0" fontId="28" fillId="0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28" fillId="0" borderId="0" xfId="0" applyFont="1" applyAlignment="1">
      <alignment horizontal="right" vertical="top"/>
    </xf>
    <xf numFmtId="0" fontId="30" fillId="0" borderId="1" xfId="0" applyFont="1" applyBorder="1" applyAlignment="1">
      <alignment horizontal="center" vertical="top" wrapText="1"/>
    </xf>
  </cellXfs>
  <cellStyles count="4">
    <cellStyle name="Данные (только для чтения)" xfId="3"/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E1FF"/>
      <color rgb="FFD5FFEA"/>
      <color rgb="FFC8FCF7"/>
      <color rgb="FFFFCCFF"/>
      <color rgb="FFFFFFD1"/>
      <color rgb="FF9DE7F9"/>
      <color rgb="FFAAFCCB"/>
      <color rgb="FFCDF2FF"/>
      <color rgb="FFFFF3FF"/>
      <color rgb="FFECFE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topLeftCell="A31" workbookViewId="0">
      <selection activeCell="G8" sqref="G8"/>
    </sheetView>
  </sheetViews>
  <sheetFormatPr defaultRowHeight="15" x14ac:dyDescent="0.25"/>
  <cols>
    <col min="1" max="1" width="4.7109375" customWidth="1"/>
    <col min="2" max="2" width="41.85546875" customWidth="1"/>
    <col min="3" max="3" width="18.28515625" customWidth="1"/>
    <col min="4" max="4" width="20.140625" customWidth="1"/>
    <col min="5" max="5" width="19.5703125" customWidth="1"/>
    <col min="6" max="6" width="18.28515625" customWidth="1"/>
    <col min="8" max="8" width="22.5703125" customWidth="1"/>
    <col min="9" max="9" width="26.85546875" customWidth="1"/>
    <col min="10" max="10" width="22.5703125" customWidth="1"/>
    <col min="11" max="11" width="24.7109375" customWidth="1"/>
    <col min="12" max="12" width="9.5703125" bestFit="1" customWidth="1"/>
  </cols>
  <sheetData>
    <row r="2" spans="1:12" thickBot="1" x14ac:dyDescent="0.35"/>
    <row r="3" spans="1:12" ht="29.25" customHeight="1" thickBot="1" x14ac:dyDescent="0.35">
      <c r="A3" s="3"/>
      <c r="B3" s="4" t="s">
        <v>0</v>
      </c>
      <c r="C3" s="4" t="s">
        <v>1</v>
      </c>
      <c r="D3" s="4" t="s">
        <v>2</v>
      </c>
      <c r="E3" s="8" t="s">
        <v>6</v>
      </c>
      <c r="F3" s="11" t="s">
        <v>3</v>
      </c>
      <c r="H3" s="63" t="s">
        <v>37</v>
      </c>
      <c r="I3" s="60"/>
      <c r="J3" s="62"/>
      <c r="K3" s="60"/>
    </row>
    <row r="4" spans="1:12" ht="56.25" x14ac:dyDescent="0.3">
      <c r="A4" s="35">
        <v>1</v>
      </c>
      <c r="B4" s="12" t="s">
        <v>4</v>
      </c>
      <c r="C4" s="5">
        <v>1792048.2</v>
      </c>
      <c r="D4" s="5">
        <v>2134429.9</v>
      </c>
      <c r="E4" s="9">
        <v>1963452.7</v>
      </c>
      <c r="F4" s="36">
        <v>2324373.7999999998</v>
      </c>
      <c r="H4" s="64"/>
      <c r="I4" s="60"/>
      <c r="J4" s="62" t="s">
        <v>38</v>
      </c>
      <c r="K4" s="1">
        <v>2016</v>
      </c>
      <c r="L4" s="76">
        <f>J32/(E4*1000)*100</f>
        <v>11.234870847665441</v>
      </c>
    </row>
    <row r="5" spans="1:12" ht="37.5" x14ac:dyDescent="0.3">
      <c r="A5" s="37">
        <v>2</v>
      </c>
      <c r="B5" s="7" t="s">
        <v>5</v>
      </c>
      <c r="C5" s="13">
        <v>100.7</v>
      </c>
      <c r="D5" s="13">
        <v>101.1</v>
      </c>
      <c r="E5" s="14">
        <v>96</v>
      </c>
      <c r="F5" s="38">
        <v>102.8</v>
      </c>
      <c r="H5" s="64"/>
      <c r="I5" s="60"/>
      <c r="J5" s="22">
        <f>J9/(J7*1000)*100</f>
        <v>48.671451619470282</v>
      </c>
      <c r="K5" s="1"/>
      <c r="L5" s="76">
        <f>K32/(D4*1000)*100</f>
        <v>11.154962338948552</v>
      </c>
    </row>
    <row r="6" spans="1:12" ht="30.75" x14ac:dyDescent="0.3">
      <c r="A6" s="39">
        <v>3</v>
      </c>
      <c r="B6" s="26" t="s">
        <v>7</v>
      </c>
      <c r="C6" s="25">
        <v>196230.9</v>
      </c>
      <c r="D6" s="25">
        <v>228124.3</v>
      </c>
      <c r="E6" s="27">
        <v>275077.59999999998</v>
      </c>
      <c r="F6" s="40">
        <v>240058.3</v>
      </c>
      <c r="H6" s="64"/>
      <c r="I6" s="69" t="s">
        <v>59</v>
      </c>
      <c r="J6" s="22">
        <f>J8/(J7*1000)*100</f>
        <v>79.807126061882173</v>
      </c>
      <c r="K6" s="1"/>
    </row>
    <row r="7" spans="1:12" ht="37.5" x14ac:dyDescent="0.3">
      <c r="A7" s="37">
        <v>4</v>
      </c>
      <c r="B7" s="7" t="s">
        <v>8</v>
      </c>
      <c r="C7" s="13">
        <v>120.7</v>
      </c>
      <c r="D7" s="13">
        <v>82.9</v>
      </c>
      <c r="E7" s="14">
        <v>140.19999999999999</v>
      </c>
      <c r="F7" s="38">
        <v>105.2</v>
      </c>
      <c r="H7" s="64"/>
      <c r="I7" s="60"/>
      <c r="J7" s="6">
        <f>E6</f>
        <v>275077.59999999998</v>
      </c>
      <c r="K7" s="6">
        <f>D6</f>
        <v>228124.3</v>
      </c>
    </row>
    <row r="8" spans="1:12" ht="52.5" customHeight="1" x14ac:dyDescent="0.3">
      <c r="A8" s="37">
        <v>5</v>
      </c>
      <c r="B8" s="26" t="s">
        <v>9</v>
      </c>
      <c r="C8" s="25">
        <v>215780396</v>
      </c>
      <c r="D8" s="25">
        <f>D6*1000*D9/100</f>
        <v>250936730</v>
      </c>
      <c r="E8" s="27">
        <v>289908842</v>
      </c>
      <c r="F8" s="40">
        <f>(F6*1000)*F9/100</f>
        <v>253021448.19999999</v>
      </c>
      <c r="H8" s="65">
        <v>243043730</v>
      </c>
      <c r="I8" s="26" t="s">
        <v>57</v>
      </c>
      <c r="J8" s="25">
        <f>E13</f>
        <v>219531527</v>
      </c>
      <c r="K8" s="25">
        <f>(K7*1000)*J6/100</f>
        <v>182059447.67878628</v>
      </c>
    </row>
    <row r="9" spans="1:12" ht="45.75" x14ac:dyDescent="0.3">
      <c r="A9" s="37">
        <v>6</v>
      </c>
      <c r="B9" s="7" t="s">
        <v>10</v>
      </c>
      <c r="C9" s="13">
        <f>C8/196231000*100</f>
        <v>109.96244018529183</v>
      </c>
      <c r="D9" s="6">
        <v>110</v>
      </c>
      <c r="E9" s="14">
        <f>(E8/(E6*1000))*100</f>
        <v>105.3916574813798</v>
      </c>
      <c r="F9" s="38">
        <v>105.4</v>
      </c>
      <c r="H9" s="64"/>
      <c r="I9" s="69" t="s">
        <v>39</v>
      </c>
      <c r="J9" s="25">
        <v>133884261</v>
      </c>
      <c r="K9" s="25">
        <f>J11*(K7*1000)/100</f>
        <v>138456244.36423364</v>
      </c>
      <c r="L9">
        <f>K9/J9*100</f>
        <v>103.41487739491176</v>
      </c>
    </row>
    <row r="10" spans="1:12" ht="18.75" x14ac:dyDescent="0.3">
      <c r="A10" s="41">
        <v>7</v>
      </c>
      <c r="B10" s="19" t="s">
        <v>11</v>
      </c>
      <c r="C10" s="20">
        <f>C8/1792048000*100</f>
        <v>12.040994214440683</v>
      </c>
      <c r="D10" s="20">
        <f>D8/(D4*1000)*100</f>
        <v>11.756616134359813</v>
      </c>
      <c r="E10" s="29">
        <f>E8/(E4*1000)*100</f>
        <v>14.765257243018892</v>
      </c>
      <c r="F10" s="42">
        <f>F8/(F4*1000)*100</f>
        <v>10.885574781474476</v>
      </c>
      <c r="H10" s="64"/>
      <c r="I10" s="60" t="s">
        <v>40</v>
      </c>
      <c r="J10" s="6">
        <v>24064181</v>
      </c>
      <c r="K10" s="6">
        <f>K9*18/100</f>
        <v>24922123.985562056</v>
      </c>
    </row>
    <row r="11" spans="1:12" ht="30.75" x14ac:dyDescent="0.3">
      <c r="A11" s="39">
        <v>8</v>
      </c>
      <c r="B11" s="26" t="s">
        <v>12</v>
      </c>
      <c r="C11" s="25">
        <v>12347050</v>
      </c>
      <c r="D11" s="25">
        <f>C12*D8/100</f>
        <v>14358711.030201742</v>
      </c>
      <c r="E11" s="27">
        <v>24544689</v>
      </c>
      <c r="F11" s="40">
        <f>F8*F12/100</f>
        <v>21506823.096999999</v>
      </c>
      <c r="H11" s="65">
        <v>120069536</v>
      </c>
      <c r="I11" s="70" t="s">
        <v>41</v>
      </c>
      <c r="J11" s="13">
        <f>J9/J32*100</f>
        <v>60.693334451539641</v>
      </c>
      <c r="K11" s="6"/>
    </row>
    <row r="12" spans="1:12" ht="37.5" x14ac:dyDescent="0.3">
      <c r="A12" s="37">
        <v>9</v>
      </c>
      <c r="B12" s="7" t="s">
        <v>13</v>
      </c>
      <c r="C12" s="13">
        <f>C11/C8*100</f>
        <v>5.7220443695913881</v>
      </c>
      <c r="D12" s="13">
        <v>5.7</v>
      </c>
      <c r="E12" s="14">
        <f>E11/E8*100</f>
        <v>8.4663471561174397</v>
      </c>
      <c r="F12" s="38">
        <v>8.5</v>
      </c>
      <c r="H12" s="66">
        <f>H11/H8*100</f>
        <v>49.402441280834523</v>
      </c>
      <c r="I12" s="60" t="s">
        <v>42</v>
      </c>
      <c r="J12" s="6">
        <v>34894</v>
      </c>
      <c r="K12" s="6">
        <f>(J12/J9*100)*K9/100</f>
        <v>36085.5873181805</v>
      </c>
    </row>
    <row r="13" spans="1:12" ht="30.75" x14ac:dyDescent="0.3">
      <c r="A13" s="37">
        <v>10</v>
      </c>
      <c r="B13" s="7" t="s">
        <v>14</v>
      </c>
      <c r="C13" s="6">
        <v>182065428</v>
      </c>
      <c r="D13" s="6">
        <f>D8-D11-D37</f>
        <v>207971231.74979827</v>
      </c>
      <c r="E13" s="10">
        <v>219531527</v>
      </c>
      <c r="F13" s="43">
        <f>F8-F11-F37</f>
        <v>202670180.00819999</v>
      </c>
      <c r="H13" s="64">
        <v>91540703</v>
      </c>
      <c r="I13" s="72" t="s">
        <v>43</v>
      </c>
      <c r="J13" s="25">
        <v>21939442</v>
      </c>
      <c r="K13" s="25">
        <f>K15*(K7*1000)/100</f>
        <v>34218645</v>
      </c>
    </row>
    <row r="14" spans="1:12" ht="18.75" x14ac:dyDescent="0.3">
      <c r="A14" s="37">
        <v>11</v>
      </c>
      <c r="B14" s="7" t="s">
        <v>15</v>
      </c>
      <c r="C14" s="13">
        <v>18</v>
      </c>
      <c r="D14" s="13">
        <v>18</v>
      </c>
      <c r="E14" s="14">
        <v>18</v>
      </c>
      <c r="F14" s="38">
        <v>18</v>
      </c>
      <c r="H14" s="64">
        <v>18</v>
      </c>
      <c r="I14" s="71" t="s">
        <v>44</v>
      </c>
      <c r="J14" s="6">
        <v>3949097</v>
      </c>
      <c r="K14" s="6">
        <f>K13*18/100</f>
        <v>6159356.0999999996</v>
      </c>
    </row>
    <row r="15" spans="1:12" ht="18.75" x14ac:dyDescent="0.3">
      <c r="A15" s="37">
        <v>12</v>
      </c>
      <c r="B15" s="7" t="s">
        <v>16</v>
      </c>
      <c r="C15" s="6">
        <f>C13*C14/100</f>
        <v>32771777.039999999</v>
      </c>
      <c r="D15" s="6">
        <f>D13*D14/100</f>
        <v>37434821.714963689</v>
      </c>
      <c r="E15" s="10">
        <f>E13*E14/100</f>
        <v>39515674.859999999</v>
      </c>
      <c r="F15" s="43">
        <f>F13*F14/100</f>
        <v>36480632.401475996</v>
      </c>
      <c r="H15" s="64">
        <f>H13*H14/100</f>
        <v>16477326.539999999</v>
      </c>
      <c r="I15" s="60" t="s">
        <v>45</v>
      </c>
      <c r="J15" s="13">
        <f>J13/J32*100</f>
        <v>9.9457388123175718</v>
      </c>
      <c r="K15" s="13">
        <v>15</v>
      </c>
    </row>
    <row r="16" spans="1:12" ht="37.5" x14ac:dyDescent="0.3">
      <c r="A16" s="37">
        <v>13</v>
      </c>
      <c r="B16" s="26" t="s">
        <v>17</v>
      </c>
      <c r="C16" s="25">
        <v>2332140</v>
      </c>
      <c r="D16" s="25">
        <f>D8*D17/100</f>
        <v>2760304.03</v>
      </c>
      <c r="E16" s="27">
        <v>4620512</v>
      </c>
      <c r="F16" s="40">
        <f>F8*F17/100</f>
        <v>4048343.1712000002</v>
      </c>
      <c r="H16" s="65">
        <v>3423295</v>
      </c>
      <c r="I16" s="69" t="s">
        <v>46</v>
      </c>
      <c r="J16" s="6">
        <v>12637</v>
      </c>
      <c r="K16" s="25">
        <f>J18*(K7*1000)/100</f>
        <v>13068.538056394998</v>
      </c>
    </row>
    <row r="17" spans="1:12" ht="18.75" x14ac:dyDescent="0.3">
      <c r="A17" s="37">
        <v>14</v>
      </c>
      <c r="B17" s="7" t="s">
        <v>18</v>
      </c>
      <c r="C17" s="13">
        <f>C16/C8*100</f>
        <v>1.0807932709512684</v>
      </c>
      <c r="D17" s="13">
        <v>1.1000000000000001</v>
      </c>
      <c r="E17" s="14">
        <f>E16/E8*100</f>
        <v>1.5937809858176042</v>
      </c>
      <c r="F17" s="38">
        <v>1.6</v>
      </c>
      <c r="H17" s="66">
        <f>H16/H8*100</f>
        <v>1.4085099006668471</v>
      </c>
      <c r="I17" s="60" t="s">
        <v>44</v>
      </c>
      <c r="J17" s="6">
        <v>2275</v>
      </c>
      <c r="K17" s="6">
        <f>K16*18/100</f>
        <v>2352.3368501511</v>
      </c>
    </row>
    <row r="18" spans="1:12" s="28" customFormat="1" ht="37.5" x14ac:dyDescent="0.3">
      <c r="A18" s="39">
        <v>15</v>
      </c>
      <c r="B18" s="26" t="s">
        <v>19</v>
      </c>
      <c r="C18" s="25">
        <f>2469410* (18/20)</f>
        <v>2222469</v>
      </c>
      <c r="D18" s="25">
        <f>D8*C19/100</f>
        <v>2584567.9854363133</v>
      </c>
      <c r="E18" s="27">
        <f>(4908938)*(18/20)</f>
        <v>4418044.2</v>
      </c>
      <c r="F18" s="40">
        <f>F8*F19/100</f>
        <v>4301364.6194000002</v>
      </c>
      <c r="H18" s="65">
        <f>24013907*(18/20)</f>
        <v>21612516.300000001</v>
      </c>
      <c r="I18" s="61" t="s">
        <v>47</v>
      </c>
      <c r="J18" s="74">
        <f>J16/J32*100</f>
        <v>5.7286917949534522E-3</v>
      </c>
      <c r="K18" s="25"/>
    </row>
    <row r="19" spans="1:12" ht="30.75" x14ac:dyDescent="0.3">
      <c r="A19" s="37">
        <v>16</v>
      </c>
      <c r="B19" s="7" t="s">
        <v>20</v>
      </c>
      <c r="C19" s="13">
        <f>C18/C8*100</f>
        <v>1.0299679865264497</v>
      </c>
      <c r="D19" s="13">
        <f>D18/D8*100</f>
        <v>1.0299679865264497</v>
      </c>
      <c r="E19" s="14">
        <f>E18/E8*100</f>
        <v>1.5239425501896215</v>
      </c>
      <c r="F19" s="38">
        <v>1.7</v>
      </c>
      <c r="H19" s="66">
        <f>H18/H8*100</f>
        <v>8.8924393564894686</v>
      </c>
      <c r="I19" s="69" t="s">
        <v>48</v>
      </c>
      <c r="J19" s="25">
        <v>64755035</v>
      </c>
      <c r="K19" s="25">
        <f>J22*(K7*1000)/100</f>
        <v>66966340.052282192</v>
      </c>
    </row>
    <row r="20" spans="1:12" ht="18.75" x14ac:dyDescent="0.3">
      <c r="A20" s="39">
        <v>17</v>
      </c>
      <c r="B20" s="26" t="s">
        <v>21</v>
      </c>
      <c r="C20" s="25">
        <v>62063</v>
      </c>
      <c r="D20" s="25">
        <f>C21*D8/100</f>
        <v>72174.704295148287</v>
      </c>
      <c r="E20" s="27">
        <v>130639</v>
      </c>
      <c r="F20" s="40">
        <f>F21*F8/100</f>
        <v>126510.72410000001</v>
      </c>
      <c r="H20" s="65">
        <v>39278</v>
      </c>
      <c r="I20" s="60" t="s">
        <v>44</v>
      </c>
      <c r="J20" s="6">
        <v>11255489</v>
      </c>
      <c r="K20" s="6">
        <f>K19*18/100</f>
        <v>12053941.209410794</v>
      </c>
    </row>
    <row r="21" spans="1:12" ht="18.75" x14ac:dyDescent="0.3">
      <c r="A21" s="37">
        <v>18</v>
      </c>
      <c r="B21" s="7" t="s">
        <v>20</v>
      </c>
      <c r="C21" s="21">
        <f>C20/C8*100</f>
        <v>2.8762112383925738E-2</v>
      </c>
      <c r="D21" s="21">
        <v>0.03</v>
      </c>
      <c r="E21" s="31">
        <f>E20/E8*100</f>
        <v>4.5062095760432172E-2</v>
      </c>
      <c r="F21" s="44">
        <v>0.05</v>
      </c>
      <c r="H21" s="67">
        <f>H20/H8*100</f>
        <v>1.6160877715298397E-2</v>
      </c>
      <c r="I21" s="60" t="s">
        <v>49</v>
      </c>
      <c r="J21" s="6">
        <v>399955</v>
      </c>
      <c r="K21" s="6">
        <f>(J21/J19*100)*K19/100</f>
        <v>413612.97288481926</v>
      </c>
    </row>
    <row r="22" spans="1:12" ht="18.75" x14ac:dyDescent="0.3">
      <c r="A22" s="39">
        <v>19</v>
      </c>
      <c r="B22" s="26" t="s">
        <v>22</v>
      </c>
      <c r="C22" s="25">
        <v>26794593</v>
      </c>
      <c r="D22" s="25">
        <f>C23*D8/100</f>
        <v>31160140.929118</v>
      </c>
      <c r="E22" s="27">
        <v>26640481</v>
      </c>
      <c r="F22" s="40">
        <f>F23*F8/100</f>
        <v>23277973.234399997</v>
      </c>
      <c r="H22" s="68">
        <v>11197964</v>
      </c>
      <c r="I22" s="60" t="s">
        <v>47</v>
      </c>
      <c r="J22" s="13">
        <f>J19/J32*100</f>
        <v>29.355198044347837</v>
      </c>
      <c r="K22" s="6"/>
    </row>
    <row r="23" spans="1:12" ht="18.75" x14ac:dyDescent="0.3">
      <c r="A23" s="37">
        <v>20</v>
      </c>
      <c r="B23" s="7" t="s">
        <v>23</v>
      </c>
      <c r="C23" s="13">
        <f>C22/C8*100</f>
        <v>12.417528884319964</v>
      </c>
      <c r="D23" s="13">
        <v>12.4</v>
      </c>
      <c r="E23" s="14">
        <f>E22/E8*100</f>
        <v>9.1892612920029535</v>
      </c>
      <c r="F23" s="38">
        <v>9.1999999999999993</v>
      </c>
      <c r="H23" s="66">
        <f>H22/H8*100</f>
        <v>4.6073864978948436</v>
      </c>
      <c r="I23" s="60"/>
      <c r="J23" s="6"/>
      <c r="K23" s="6"/>
    </row>
    <row r="24" spans="1:12" ht="18.75" x14ac:dyDescent="0.3">
      <c r="A24" s="39">
        <v>21</v>
      </c>
      <c r="B24" s="26" t="s">
        <v>24</v>
      </c>
      <c r="C24" s="25">
        <f>C22*C14/100</f>
        <v>4823026.74</v>
      </c>
      <c r="D24" s="25">
        <f>D22*18/100</f>
        <v>5608825.3672412392</v>
      </c>
      <c r="E24" s="27">
        <v>4395331</v>
      </c>
      <c r="F24" s="40">
        <f>F22*18/100</f>
        <v>4190035.1821919996</v>
      </c>
      <c r="H24" s="64">
        <v>2015634</v>
      </c>
      <c r="I24" s="60" t="s">
        <v>50</v>
      </c>
      <c r="J24" s="25">
        <f>J9+J13+J16+J19</f>
        <v>220591375</v>
      </c>
      <c r="K24" s="25">
        <f>K9+K13+K16+K19</f>
        <v>239654297.95457223</v>
      </c>
    </row>
    <row r="25" spans="1:12" ht="18.75" x14ac:dyDescent="0.3">
      <c r="A25" s="39">
        <v>22</v>
      </c>
      <c r="B25" s="26" t="s">
        <v>25</v>
      </c>
      <c r="C25" s="25"/>
      <c r="D25" s="25">
        <v>95</v>
      </c>
      <c r="E25" s="27">
        <f>E28/E26*100</f>
        <v>84.680512949912725</v>
      </c>
      <c r="F25" s="40">
        <v>95</v>
      </c>
      <c r="H25" s="64">
        <v>91.3</v>
      </c>
      <c r="I25" s="60" t="s">
        <v>44</v>
      </c>
      <c r="J25" s="6">
        <f>J10+J14+J17+J20</f>
        <v>39271042</v>
      </c>
      <c r="K25" s="6">
        <f>K24*18/100</f>
        <v>43137773.631823003</v>
      </c>
    </row>
    <row r="26" spans="1:12" ht="18.75" x14ac:dyDescent="0.3">
      <c r="A26" s="55">
        <v>23</v>
      </c>
      <c r="B26" s="56" t="s">
        <v>26</v>
      </c>
      <c r="C26" s="57"/>
      <c r="D26" s="57">
        <f>(D15+D16-D18-D20+D24)*95/100</f>
        <v>40989848.001349792</v>
      </c>
      <c r="E26" s="58">
        <f>E15+E16-E18-E20+E24</f>
        <v>43982834.659999996</v>
      </c>
      <c r="F26" s="59">
        <f>(F15+F16-F18-F20+F24)*F25/100</f>
        <v>38276578.640799589</v>
      </c>
      <c r="H26" s="64"/>
      <c r="I26" s="60" t="s">
        <v>51</v>
      </c>
      <c r="J26" s="6">
        <f>E22</f>
        <v>26640481</v>
      </c>
      <c r="K26" s="6">
        <f>J31*K19/100</f>
        <v>27550220.763564762</v>
      </c>
    </row>
    <row r="27" spans="1:12" ht="37.5" x14ac:dyDescent="0.3">
      <c r="A27" s="55">
        <v>24</v>
      </c>
      <c r="B27" s="56" t="s">
        <v>27</v>
      </c>
      <c r="C27" s="57"/>
      <c r="D27" s="57">
        <f>(D15+D16-D18-D20)*95/100</f>
        <v>35661463.902470618</v>
      </c>
      <c r="E27" s="58"/>
      <c r="F27" s="59"/>
      <c r="H27" s="64"/>
      <c r="I27" s="60" t="s">
        <v>52</v>
      </c>
      <c r="J27" s="6">
        <f>E24</f>
        <v>4395331</v>
      </c>
      <c r="K27" s="6">
        <f>K26*18/100</f>
        <v>4959039.7374416571</v>
      </c>
    </row>
    <row r="28" spans="1:12" ht="37.5" x14ac:dyDescent="0.3">
      <c r="A28" s="45">
        <v>25</v>
      </c>
      <c r="B28" s="15" t="s">
        <v>28</v>
      </c>
      <c r="C28" s="16">
        <v>42838844</v>
      </c>
      <c r="D28" s="16"/>
      <c r="E28" s="32">
        <v>37244890</v>
      </c>
      <c r="F28" s="46"/>
      <c r="H28" s="64"/>
      <c r="I28" s="1" t="s">
        <v>30</v>
      </c>
      <c r="J28" s="6">
        <v>53</v>
      </c>
      <c r="K28" s="6">
        <v>50</v>
      </c>
    </row>
    <row r="29" spans="1:12" ht="56.25" x14ac:dyDescent="0.3">
      <c r="A29" s="45">
        <v>26</v>
      </c>
      <c r="B29" s="15" t="s">
        <v>29</v>
      </c>
      <c r="C29" s="16"/>
      <c r="D29" s="16">
        <v>34029606</v>
      </c>
      <c r="E29" s="17">
        <v>30641481</v>
      </c>
      <c r="F29" s="46"/>
      <c r="H29" s="64"/>
      <c r="I29" s="7" t="s">
        <v>31</v>
      </c>
      <c r="J29" s="13"/>
      <c r="K29" s="21">
        <f>K28/J28</f>
        <v>0.94339622641509435</v>
      </c>
    </row>
    <row r="30" spans="1:12" ht="56.25" x14ac:dyDescent="0.3">
      <c r="A30" s="37">
        <v>27</v>
      </c>
      <c r="B30" s="1" t="s">
        <v>30</v>
      </c>
      <c r="C30" s="1">
        <v>97.6</v>
      </c>
      <c r="D30" s="22">
        <v>50</v>
      </c>
      <c r="E30" s="22">
        <v>53</v>
      </c>
      <c r="F30" s="47">
        <v>52</v>
      </c>
      <c r="H30" s="64"/>
      <c r="I30" s="23" t="s">
        <v>32</v>
      </c>
      <c r="J30" s="6"/>
      <c r="K30" s="6">
        <f>K26*K29</f>
        <v>25990774.305249777</v>
      </c>
    </row>
    <row r="31" spans="1:12" ht="37.5" x14ac:dyDescent="0.3">
      <c r="A31" s="37">
        <v>28</v>
      </c>
      <c r="B31" s="7" t="s">
        <v>31</v>
      </c>
      <c r="C31" s="1"/>
      <c r="D31" s="22">
        <f>D30/C30</f>
        <v>0.51229508196721318</v>
      </c>
      <c r="E31" s="22"/>
      <c r="F31" s="47">
        <f>F30/E30</f>
        <v>0.98113207547169812</v>
      </c>
      <c r="H31" s="64"/>
      <c r="I31" s="75" t="s">
        <v>53</v>
      </c>
      <c r="J31" s="13">
        <f>J26/J19*100</f>
        <v>41.140400897011332</v>
      </c>
      <c r="K31" s="25">
        <f>K26-K30</f>
        <v>1559446.458314985</v>
      </c>
    </row>
    <row r="32" spans="1:12" ht="37.5" x14ac:dyDescent="0.3">
      <c r="A32" s="37">
        <v>29</v>
      </c>
      <c r="B32" s="23" t="s">
        <v>32</v>
      </c>
      <c r="C32" s="6"/>
      <c r="D32" s="6">
        <f>D24*D31</f>
        <v>2873373.6512506353</v>
      </c>
      <c r="E32" s="6"/>
      <c r="F32" s="43"/>
      <c r="H32" s="64"/>
      <c r="I32" s="60" t="s">
        <v>54</v>
      </c>
      <c r="J32" s="6">
        <f>J9+J13+J16+J19</f>
        <v>220591375</v>
      </c>
      <c r="K32" s="6">
        <f>K9+K13+K16+K19-K31</f>
        <v>238094851.49625725</v>
      </c>
      <c r="L32">
        <f>K32/J24*100</f>
        <v>107.93479640636777</v>
      </c>
    </row>
    <row r="33" spans="1:11" ht="18.75" x14ac:dyDescent="0.3">
      <c r="A33" s="39">
        <v>30</v>
      </c>
      <c r="B33" s="25" t="s">
        <v>26</v>
      </c>
      <c r="C33" s="25"/>
      <c r="D33" s="25">
        <f>(D15+D16-D18-D20+D32)*95/100</f>
        <v>38391168.871158727</v>
      </c>
      <c r="E33" s="25"/>
      <c r="F33" s="40">
        <f>F26</f>
        <v>38276578.640799589</v>
      </c>
      <c r="H33" s="64"/>
      <c r="I33" s="60" t="s">
        <v>44</v>
      </c>
      <c r="J33" s="6">
        <f>J32*18/100</f>
        <v>39706447.5</v>
      </c>
      <c r="K33" s="6">
        <f>K32*18/100</f>
        <v>42857073.269326307</v>
      </c>
    </row>
    <row r="34" spans="1:11" s="24" customFormat="1" ht="37.5" x14ac:dyDescent="0.3">
      <c r="A34" s="48">
        <v>31</v>
      </c>
      <c r="B34" s="33" t="s">
        <v>33</v>
      </c>
      <c r="C34" s="33"/>
      <c r="D34" s="33">
        <f>(D29/E29)*E28</f>
        <v>41363174.71774096</v>
      </c>
      <c r="E34" s="33"/>
      <c r="F34" s="49"/>
      <c r="H34" s="64"/>
      <c r="I34" s="7" t="s">
        <v>60</v>
      </c>
      <c r="J34" s="6">
        <f>J12+J21</f>
        <v>434849</v>
      </c>
      <c r="K34" s="6">
        <f>K21+K12</f>
        <v>449698.56020299974</v>
      </c>
    </row>
    <row r="35" spans="1:11" s="24" customFormat="1" ht="18.75" x14ac:dyDescent="0.3">
      <c r="A35" s="48">
        <v>32</v>
      </c>
      <c r="B35" s="33" t="s">
        <v>34</v>
      </c>
      <c r="C35" s="33"/>
      <c r="D35" s="33">
        <f>D34-D33</f>
        <v>2972005.8465822339</v>
      </c>
      <c r="E35" s="33"/>
      <c r="F35" s="49"/>
      <c r="H35" s="64"/>
      <c r="I35" s="1" t="s">
        <v>44</v>
      </c>
      <c r="J35" s="6">
        <f>J33-J34</f>
        <v>39271598.5</v>
      </c>
      <c r="K35" s="6">
        <f>K33-K34</f>
        <v>42407374.709123306</v>
      </c>
    </row>
    <row r="36" spans="1:11" ht="18.75" x14ac:dyDescent="0.3">
      <c r="A36" s="41">
        <v>33</v>
      </c>
      <c r="B36" s="18" t="s">
        <v>35</v>
      </c>
      <c r="C36" s="18"/>
      <c r="D36" s="34">
        <f>D34/D33*100</f>
        <v>107.74137890033076</v>
      </c>
      <c r="E36" s="18"/>
      <c r="F36" s="50"/>
      <c r="H36" s="64"/>
      <c r="I36" s="60" t="s">
        <v>55</v>
      </c>
      <c r="J36" s="6">
        <f>J37/J35*100</f>
        <v>94.839251323064929</v>
      </c>
      <c r="K36" s="6">
        <v>95</v>
      </c>
    </row>
    <row r="37" spans="1:11" ht="18.75" x14ac:dyDescent="0.3">
      <c r="A37" s="39">
        <v>34</v>
      </c>
      <c r="B37" s="2" t="s">
        <v>36</v>
      </c>
      <c r="C37" s="25">
        <v>24576966</v>
      </c>
      <c r="D37" s="25">
        <f>D8*D38/100</f>
        <v>28606787.219999999</v>
      </c>
      <c r="E37" s="25">
        <v>48537436</v>
      </c>
      <c r="F37" s="40">
        <f>F8*F38/100</f>
        <v>28844445.094799999</v>
      </c>
      <c r="H37" s="64">
        <v>31961749</v>
      </c>
      <c r="I37" s="60" t="s">
        <v>56</v>
      </c>
      <c r="J37" s="6">
        <v>37244890</v>
      </c>
      <c r="K37" s="6">
        <f>K35*K36/100</f>
        <v>40287005.973667137</v>
      </c>
    </row>
    <row r="38" spans="1:11" ht="19.5" thickBot="1" x14ac:dyDescent="0.35">
      <c r="A38" s="51">
        <v>35</v>
      </c>
      <c r="B38" s="52" t="s">
        <v>20</v>
      </c>
      <c r="C38" s="53">
        <f>C37/C8*100</f>
        <v>11.389804845848925</v>
      </c>
      <c r="D38" s="53">
        <v>11.4</v>
      </c>
      <c r="E38" s="53">
        <f>E37/E8*100</f>
        <v>16.742309639524549</v>
      </c>
      <c r="F38" s="54">
        <v>11.4</v>
      </c>
      <c r="H38" s="64"/>
      <c r="I38" s="60" t="s">
        <v>58</v>
      </c>
      <c r="J38" s="6"/>
      <c r="K38" s="6">
        <f>K37*95/100</f>
        <v>38272655.674983785</v>
      </c>
    </row>
    <row r="40" spans="1:11" x14ac:dyDescent="0.25">
      <c r="K40" s="30">
        <f>D34-K37</f>
        <v>1076168.7440738231</v>
      </c>
    </row>
    <row r="41" spans="1:11" x14ac:dyDescent="0.25">
      <c r="K41" s="30">
        <f>D34/K37*100</f>
        <v>102.67125520515781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2"/>
  <sheetViews>
    <sheetView topLeftCell="A34" workbookViewId="0">
      <selection activeCell="G8" sqref="G8"/>
    </sheetView>
  </sheetViews>
  <sheetFormatPr defaultRowHeight="15" x14ac:dyDescent="0.25"/>
  <cols>
    <col min="1" max="1" width="4.85546875" customWidth="1"/>
    <col min="2" max="2" width="31.42578125" customWidth="1"/>
    <col min="3" max="3" width="22.5703125" customWidth="1"/>
    <col min="4" max="4" width="24.7109375" customWidth="1"/>
    <col min="5" max="5" width="9.5703125" bestFit="1" customWidth="1"/>
    <col min="6" max="6" width="18.28515625" customWidth="1"/>
    <col min="7" max="7" width="10.42578125" customWidth="1"/>
    <col min="8" max="8" width="18.42578125" customWidth="1"/>
    <col min="9" max="9" width="11.42578125" customWidth="1"/>
    <col min="10" max="10" width="18.28515625" customWidth="1"/>
    <col min="11" max="11" width="10.85546875" customWidth="1"/>
  </cols>
  <sheetData>
    <row r="3" spans="1:11" ht="21.75" thickBot="1" x14ac:dyDescent="0.4">
      <c r="B3" s="112" t="s">
        <v>61</v>
      </c>
      <c r="C3" s="28"/>
      <c r="D3" s="28"/>
      <c r="E3" s="28"/>
      <c r="F3" s="28"/>
      <c r="G3" s="28"/>
      <c r="H3" s="28"/>
      <c r="I3" s="28"/>
      <c r="J3" s="28"/>
      <c r="K3" s="28"/>
    </row>
    <row r="4" spans="1:11" ht="68.25" customHeight="1" thickBot="1" x14ac:dyDescent="0.35">
      <c r="A4" s="107"/>
      <c r="B4" s="4" t="s">
        <v>62</v>
      </c>
      <c r="C4" s="108" t="s">
        <v>63</v>
      </c>
      <c r="D4" s="4" t="s">
        <v>64</v>
      </c>
      <c r="E4" s="109" t="s">
        <v>65</v>
      </c>
      <c r="F4" s="110" t="s">
        <v>91</v>
      </c>
      <c r="G4" s="109" t="s">
        <v>92</v>
      </c>
      <c r="H4" s="110" t="s">
        <v>79</v>
      </c>
      <c r="I4" s="109" t="s">
        <v>80</v>
      </c>
      <c r="J4" s="111" t="s">
        <v>81</v>
      </c>
      <c r="K4" s="109" t="s">
        <v>82</v>
      </c>
    </row>
    <row r="5" spans="1:11" ht="18.75" x14ac:dyDescent="0.3">
      <c r="A5" s="101">
        <v>1</v>
      </c>
      <c r="B5" s="102" t="s">
        <v>66</v>
      </c>
      <c r="C5" s="103">
        <v>1963452.7</v>
      </c>
      <c r="D5" s="5">
        <v>2134429.9</v>
      </c>
      <c r="E5" s="104">
        <f>D5/C5*100</f>
        <v>108.70798670118205</v>
      </c>
      <c r="F5" s="101"/>
      <c r="G5" s="105"/>
      <c r="H5" s="119">
        <v>2339200</v>
      </c>
      <c r="I5" s="121">
        <f>H5/D5*100</f>
        <v>109.59366714268761</v>
      </c>
      <c r="J5" s="106"/>
      <c r="K5" s="105"/>
    </row>
    <row r="6" spans="1:11" ht="37.5" x14ac:dyDescent="0.3">
      <c r="A6" s="89">
        <v>2</v>
      </c>
      <c r="B6" s="7" t="s">
        <v>67</v>
      </c>
      <c r="C6" s="78">
        <f>C32/(C5*1000)*100</f>
        <v>11.234870847665441</v>
      </c>
      <c r="D6" s="13">
        <f>D32/(D5*1000)*100</f>
        <v>11.388863416230146</v>
      </c>
      <c r="E6" s="95">
        <f t="shared" ref="E6:E40" si="0">D6/C6*100</f>
        <v>101.3706661220472</v>
      </c>
      <c r="F6" s="117">
        <f>F32/(D5*1000)*100</f>
        <v>10.879411031489017</v>
      </c>
      <c r="G6" s="90"/>
      <c r="H6" s="113">
        <v>11</v>
      </c>
      <c r="I6" s="43"/>
      <c r="J6" s="94"/>
      <c r="K6" s="90"/>
    </row>
    <row r="7" spans="1:11" ht="41.25" customHeight="1" x14ac:dyDescent="0.3">
      <c r="A7" s="89">
        <v>3</v>
      </c>
      <c r="B7" s="7" t="s">
        <v>68</v>
      </c>
      <c r="C7" s="6">
        <v>275078</v>
      </c>
      <c r="D7" s="6">
        <v>228124</v>
      </c>
      <c r="E7" s="95">
        <f t="shared" si="0"/>
        <v>82.930659667439784</v>
      </c>
      <c r="F7" s="89"/>
      <c r="G7" s="90"/>
      <c r="H7" s="113"/>
      <c r="I7" s="43"/>
      <c r="J7" s="94"/>
      <c r="K7" s="90"/>
    </row>
    <row r="8" spans="1:11" ht="37.5" x14ac:dyDescent="0.3">
      <c r="A8" s="89">
        <v>4</v>
      </c>
      <c r="B8" s="7" t="s">
        <v>59</v>
      </c>
      <c r="C8" s="13">
        <f>C32/(C7*1000)*100</f>
        <v>80.192300002181199</v>
      </c>
      <c r="D8" s="13">
        <f>D32/(D7*1000)*100</f>
        <v>106.55928618916803</v>
      </c>
      <c r="E8" s="95">
        <f t="shared" si="0"/>
        <v>132.87969815838886</v>
      </c>
      <c r="F8" s="89"/>
      <c r="G8" s="90"/>
      <c r="H8" s="113"/>
      <c r="I8" s="43"/>
      <c r="J8" s="94"/>
      <c r="K8" s="90"/>
    </row>
    <row r="9" spans="1:11" ht="37.5" x14ac:dyDescent="0.3">
      <c r="A9" s="89">
        <v>5</v>
      </c>
      <c r="B9" s="19" t="s">
        <v>69</v>
      </c>
      <c r="C9" s="16"/>
      <c r="D9" s="79">
        <f>C6*(D5*1000)/100</f>
        <v>239800442.59895462</v>
      </c>
      <c r="E9" s="96"/>
      <c r="F9" s="113">
        <f>D5*1000*C6/100</f>
        <v>239800442.59895462</v>
      </c>
      <c r="G9" s="43"/>
      <c r="H9" s="113">
        <f>(H5*1000)*11/100</f>
        <v>257312000</v>
      </c>
      <c r="I9" s="38">
        <f>H9/F9*100</f>
        <v>107.30255424521127</v>
      </c>
      <c r="J9" s="94"/>
      <c r="K9" s="90"/>
    </row>
    <row r="10" spans="1:11" ht="18.75" x14ac:dyDescent="0.3">
      <c r="A10" s="89">
        <v>6</v>
      </c>
      <c r="B10" s="26" t="s">
        <v>70</v>
      </c>
      <c r="C10" s="25"/>
      <c r="D10" s="25"/>
      <c r="E10" s="95"/>
      <c r="F10" s="113"/>
      <c r="G10" s="43"/>
      <c r="H10" s="113"/>
      <c r="I10" s="43"/>
      <c r="J10" s="94"/>
      <c r="K10" s="90"/>
    </row>
    <row r="11" spans="1:11" ht="56.25" x14ac:dyDescent="0.3">
      <c r="A11" s="89">
        <v>7</v>
      </c>
      <c r="B11" s="86" t="s">
        <v>39</v>
      </c>
      <c r="C11" s="85">
        <v>133884261</v>
      </c>
      <c r="D11" s="85">
        <f>C13*D9/100</f>
        <v>145542884.64285588</v>
      </c>
      <c r="E11" s="97">
        <f t="shared" si="0"/>
        <v>108.70798670118207</v>
      </c>
      <c r="F11" s="113">
        <v>143053366</v>
      </c>
      <c r="G11" s="38">
        <f>F11/D11*100</f>
        <v>98.289494777456937</v>
      </c>
      <c r="H11" s="113">
        <f>H9*F13/100</f>
        <v>158515173.52212083</v>
      </c>
      <c r="I11" s="38">
        <f>H11/F11*100</f>
        <v>110.80841923154804</v>
      </c>
      <c r="J11" s="94"/>
      <c r="K11" s="90"/>
    </row>
    <row r="12" spans="1:11" ht="39" customHeight="1" x14ac:dyDescent="0.3">
      <c r="A12" s="89">
        <v>8</v>
      </c>
      <c r="B12" s="7" t="s">
        <v>40</v>
      </c>
      <c r="C12" s="6">
        <v>24064181</v>
      </c>
      <c r="D12" s="6">
        <f>D11*18/100</f>
        <v>26197719.235714059</v>
      </c>
      <c r="E12" s="95">
        <f t="shared" si="0"/>
        <v>108.86603302939774</v>
      </c>
      <c r="F12" s="113">
        <v>25713195</v>
      </c>
      <c r="G12" s="38">
        <f t="shared" ref="G12:G22" si="1">F12/D12*100</f>
        <v>98.150509854103902</v>
      </c>
      <c r="H12" s="113">
        <f>F12*I12/100</f>
        <v>28490220.059999999</v>
      </c>
      <c r="I12" s="38">
        <v>110.8</v>
      </c>
      <c r="J12" s="94"/>
      <c r="K12" s="90"/>
    </row>
    <row r="13" spans="1:11" ht="56.25" x14ac:dyDescent="0.3">
      <c r="A13" s="89">
        <v>9</v>
      </c>
      <c r="B13" s="77" t="s">
        <v>72</v>
      </c>
      <c r="C13" s="13">
        <f>C11/C32*100</f>
        <v>60.693334451539641</v>
      </c>
      <c r="D13" s="13">
        <f>C13</f>
        <v>60.693334451539641</v>
      </c>
      <c r="E13" s="95">
        <f t="shared" si="0"/>
        <v>100</v>
      </c>
      <c r="F13" s="120">
        <f>F11/F32*100</f>
        <v>61.604267784681952</v>
      </c>
      <c r="G13" s="38">
        <f t="shared" si="1"/>
        <v>101.50087870665541</v>
      </c>
      <c r="H13" s="120">
        <f>H11/H9*100</f>
        <v>61.604267784681952</v>
      </c>
      <c r="I13" s="38"/>
      <c r="J13" s="94"/>
      <c r="K13" s="90"/>
    </row>
    <row r="14" spans="1:11" ht="18.75" x14ac:dyDescent="0.3">
      <c r="A14" s="89">
        <v>10</v>
      </c>
      <c r="B14" s="2" t="s">
        <v>71</v>
      </c>
      <c r="C14" s="25">
        <v>34894</v>
      </c>
      <c r="D14" s="25">
        <f>C14/C11*D11</f>
        <v>37932.564879510472</v>
      </c>
      <c r="E14" s="95">
        <f t="shared" si="0"/>
        <v>108.70798670118207</v>
      </c>
      <c r="F14" s="113"/>
      <c r="G14" s="38">
        <f t="shared" si="1"/>
        <v>0</v>
      </c>
      <c r="H14" s="113"/>
      <c r="I14" s="38"/>
      <c r="J14" s="94"/>
      <c r="K14" s="90"/>
    </row>
    <row r="15" spans="1:11" ht="37.5" x14ac:dyDescent="0.3">
      <c r="A15" s="89">
        <v>11</v>
      </c>
      <c r="B15" s="88" t="s">
        <v>43</v>
      </c>
      <c r="C15" s="85">
        <v>21939442</v>
      </c>
      <c r="D15" s="85">
        <f>D17*D9/100</f>
        <v>28776053.111874551</v>
      </c>
      <c r="E15" s="97">
        <f t="shared" si="0"/>
        <v>131.16128072844583</v>
      </c>
      <c r="F15" s="113">
        <v>18608280</v>
      </c>
      <c r="G15" s="38">
        <f t="shared" si="1"/>
        <v>64.665852289246786</v>
      </c>
      <c r="H15" s="113">
        <f>F17*H9/100</f>
        <v>20619540.914180309</v>
      </c>
      <c r="I15" s="38">
        <f t="shared" ref="I15:I21" si="2">H15/F15*100</f>
        <v>110.80841923154804</v>
      </c>
      <c r="J15" s="94"/>
      <c r="K15" s="90"/>
    </row>
    <row r="16" spans="1:11" ht="18.75" x14ac:dyDescent="0.3">
      <c r="A16" s="89">
        <v>12</v>
      </c>
      <c r="B16" s="6" t="s">
        <v>44</v>
      </c>
      <c r="C16" s="6">
        <v>3949097</v>
      </c>
      <c r="D16" s="6">
        <f>D15*18/100</f>
        <v>5179689.560137419</v>
      </c>
      <c r="E16" s="95">
        <f t="shared" si="0"/>
        <v>131.16136575367531</v>
      </c>
      <c r="F16" s="113">
        <v>3349488</v>
      </c>
      <c r="G16" s="38">
        <f t="shared" si="1"/>
        <v>64.66580595442359</v>
      </c>
      <c r="H16" s="113">
        <f>H15*18/100</f>
        <v>3711517.3645524555</v>
      </c>
      <c r="I16" s="38">
        <f t="shared" si="2"/>
        <v>110.80849862881897</v>
      </c>
      <c r="J16" s="94"/>
      <c r="K16" s="90"/>
    </row>
    <row r="17" spans="1:11" ht="18.75" x14ac:dyDescent="0.3">
      <c r="A17" s="89">
        <v>13</v>
      </c>
      <c r="B17" s="1" t="s">
        <v>45</v>
      </c>
      <c r="C17" s="13">
        <f>C15/C32*100</f>
        <v>9.9457388123175718</v>
      </c>
      <c r="D17" s="73">
        <v>12</v>
      </c>
      <c r="E17" s="95">
        <f t="shared" si="0"/>
        <v>120.65468665976098</v>
      </c>
      <c r="F17" s="120">
        <f>F15/F32*100</f>
        <v>8.0134392932239109</v>
      </c>
      <c r="G17" s="38">
        <f t="shared" si="1"/>
        <v>66.778660776865934</v>
      </c>
      <c r="H17" s="120">
        <f>H15/H9*100</f>
        <v>8.0134392932239109</v>
      </c>
      <c r="I17" s="38"/>
      <c r="J17" s="94"/>
      <c r="K17" s="90"/>
    </row>
    <row r="18" spans="1:11" ht="56.25" x14ac:dyDescent="0.3">
      <c r="A18" s="89">
        <v>14</v>
      </c>
      <c r="B18" s="86" t="s">
        <v>46</v>
      </c>
      <c r="C18" s="85">
        <v>12637</v>
      </c>
      <c r="D18" s="85">
        <f>C20*D9/100</f>
        <v>13737.428279428375</v>
      </c>
      <c r="E18" s="97">
        <f t="shared" si="0"/>
        <v>108.70798670118205</v>
      </c>
      <c r="F18" s="113">
        <v>738</v>
      </c>
      <c r="G18" s="38">
        <f t="shared" si="1"/>
        <v>5.3721845529497365</v>
      </c>
      <c r="H18" s="113"/>
      <c r="I18" s="38"/>
      <c r="J18" s="94"/>
      <c r="K18" s="90"/>
    </row>
    <row r="19" spans="1:11" ht="18.75" x14ac:dyDescent="0.3">
      <c r="A19" s="89">
        <v>15</v>
      </c>
      <c r="B19" s="1" t="s">
        <v>44</v>
      </c>
      <c r="C19" s="6">
        <v>2275</v>
      </c>
      <c r="D19" s="6">
        <f>D18*18/100</f>
        <v>2472.7370902971074</v>
      </c>
      <c r="E19" s="95">
        <f t="shared" si="0"/>
        <v>108.69174023283989</v>
      </c>
      <c r="F19" s="113">
        <v>132</v>
      </c>
      <c r="G19" s="38">
        <f t="shared" si="1"/>
        <v>5.3382140995887184</v>
      </c>
      <c r="H19" s="113"/>
      <c r="I19" s="38"/>
      <c r="J19" s="94"/>
      <c r="K19" s="90"/>
    </row>
    <row r="20" spans="1:11" ht="18.75" x14ac:dyDescent="0.3">
      <c r="A20" s="89">
        <v>16</v>
      </c>
      <c r="B20" s="1" t="s">
        <v>47</v>
      </c>
      <c r="C20" s="84">
        <v>5.7286917949534522E-3</v>
      </c>
      <c r="D20" s="84">
        <f>C20</f>
        <v>5.7286917949534522E-3</v>
      </c>
      <c r="E20" s="95">
        <f t="shared" si="0"/>
        <v>100</v>
      </c>
      <c r="F20" s="113"/>
      <c r="G20" s="38">
        <f t="shared" si="1"/>
        <v>0</v>
      </c>
      <c r="H20" s="113"/>
      <c r="I20" s="38"/>
      <c r="J20" s="94"/>
      <c r="K20" s="90"/>
    </row>
    <row r="21" spans="1:11" ht="37.5" x14ac:dyDescent="0.3">
      <c r="A21" s="89">
        <v>17</v>
      </c>
      <c r="B21" s="86" t="s">
        <v>48</v>
      </c>
      <c r="C21" s="85">
        <v>64755035</v>
      </c>
      <c r="D21" s="85">
        <f>C24*D9/100</f>
        <v>70393894.836145788</v>
      </c>
      <c r="E21" s="97">
        <f t="shared" si="0"/>
        <v>108.70798670118207</v>
      </c>
      <c r="F21" s="113">
        <v>70551018</v>
      </c>
      <c r="G21" s="38">
        <f t="shared" si="1"/>
        <v>100.22320566892901</v>
      </c>
      <c r="H21" s="113">
        <f>F24*H9/100</f>
        <v>78176467.797564939</v>
      </c>
      <c r="I21" s="38">
        <f t="shared" si="2"/>
        <v>110.80841923154807</v>
      </c>
      <c r="J21" s="94"/>
      <c r="K21" s="90"/>
    </row>
    <row r="22" spans="1:11" ht="18.75" x14ac:dyDescent="0.3">
      <c r="A22" s="89">
        <v>18</v>
      </c>
      <c r="B22" s="1" t="s">
        <v>44</v>
      </c>
      <c r="C22" s="6">
        <v>11255489</v>
      </c>
      <c r="D22" s="6">
        <f>D21*18/100</f>
        <v>12670901.070506241</v>
      </c>
      <c r="E22" s="95">
        <f t="shared" si="0"/>
        <v>112.57530499568912</v>
      </c>
      <c r="F22" s="113">
        <v>12242945</v>
      </c>
      <c r="G22" s="38">
        <f t="shared" si="1"/>
        <v>96.622528515336739</v>
      </c>
      <c r="H22" s="113">
        <f>F22*I22/100</f>
        <v>13565183.060000001</v>
      </c>
      <c r="I22" s="38">
        <v>110.8</v>
      </c>
      <c r="J22" s="94"/>
      <c r="K22" s="90"/>
    </row>
    <row r="23" spans="1:11" ht="18.75" x14ac:dyDescent="0.3">
      <c r="A23" s="89">
        <v>19</v>
      </c>
      <c r="B23" s="1" t="s">
        <v>49</v>
      </c>
      <c r="C23" s="6">
        <v>399955</v>
      </c>
      <c r="D23" s="6">
        <f>C23/C22*D22</f>
        <v>450250.56109550851</v>
      </c>
      <c r="E23" s="95">
        <f t="shared" si="0"/>
        <v>112.57530499568915</v>
      </c>
      <c r="F23" s="113"/>
      <c r="G23" s="43"/>
      <c r="H23" s="113"/>
      <c r="I23" s="38"/>
      <c r="J23" s="94"/>
      <c r="K23" s="90"/>
    </row>
    <row r="24" spans="1:11" ht="18.75" x14ac:dyDescent="0.3">
      <c r="A24" s="89">
        <v>20</v>
      </c>
      <c r="B24" s="7" t="s">
        <v>73</v>
      </c>
      <c r="C24" s="13">
        <f>C21/C32*100</f>
        <v>29.355198044347837</v>
      </c>
      <c r="D24" s="13">
        <f>C24</f>
        <v>29.355198044347837</v>
      </c>
      <c r="E24" s="95">
        <f t="shared" si="0"/>
        <v>100</v>
      </c>
      <c r="F24" s="120">
        <f>F21/F32*100</f>
        <v>30.381975110980029</v>
      </c>
      <c r="G24" s="43"/>
      <c r="H24" s="120">
        <f>H21/H9*100</f>
        <v>30.381975110980029</v>
      </c>
      <c r="I24" s="38"/>
      <c r="J24" s="94"/>
      <c r="K24" s="90"/>
    </row>
    <row r="25" spans="1:11" ht="37.5" x14ac:dyDescent="0.3">
      <c r="A25" s="89">
        <v>21</v>
      </c>
      <c r="B25" s="19" t="s">
        <v>74</v>
      </c>
      <c r="C25" s="80">
        <v>26640481</v>
      </c>
      <c r="D25" s="80">
        <f>C30*D21/100</f>
        <v>28960330.542610936</v>
      </c>
      <c r="E25" s="96">
        <f t="shared" si="0"/>
        <v>108.70798670118207</v>
      </c>
      <c r="F25" s="113"/>
      <c r="G25" s="43"/>
      <c r="H25" s="113"/>
      <c r="I25" s="43"/>
      <c r="J25" s="94"/>
      <c r="K25" s="90"/>
    </row>
    <row r="26" spans="1:11" ht="18.75" x14ac:dyDescent="0.3">
      <c r="A26" s="89">
        <v>22</v>
      </c>
      <c r="B26" s="18" t="s">
        <v>52</v>
      </c>
      <c r="C26" s="80">
        <v>4395331</v>
      </c>
      <c r="D26" s="80">
        <f>D25*18/100</f>
        <v>5212859.4976699688</v>
      </c>
      <c r="E26" s="96">
        <f t="shared" si="0"/>
        <v>118.59993019114985</v>
      </c>
      <c r="F26" s="113"/>
      <c r="G26" s="43"/>
      <c r="H26" s="113"/>
      <c r="I26" s="43"/>
      <c r="J26" s="94"/>
      <c r="K26" s="90"/>
    </row>
    <row r="27" spans="1:11" ht="18.75" x14ac:dyDescent="0.3">
      <c r="A27" s="89">
        <v>23</v>
      </c>
      <c r="B27" s="18" t="s">
        <v>30</v>
      </c>
      <c r="C27" s="80">
        <v>53</v>
      </c>
      <c r="D27" s="80">
        <v>50</v>
      </c>
      <c r="E27" s="96">
        <f t="shared" si="0"/>
        <v>94.339622641509436</v>
      </c>
      <c r="F27" s="113"/>
      <c r="G27" s="43"/>
      <c r="H27" s="113"/>
      <c r="I27" s="43"/>
      <c r="J27" s="94"/>
      <c r="K27" s="90"/>
    </row>
    <row r="28" spans="1:11" ht="56.25" x14ac:dyDescent="0.3">
      <c r="A28" s="89">
        <v>24</v>
      </c>
      <c r="B28" s="19" t="s">
        <v>31</v>
      </c>
      <c r="C28" s="80"/>
      <c r="D28" s="81">
        <v>0.94339622641509435</v>
      </c>
      <c r="E28" s="96"/>
      <c r="F28" s="113"/>
      <c r="G28" s="43"/>
      <c r="H28" s="113"/>
      <c r="I28" s="43"/>
      <c r="J28" s="94"/>
      <c r="K28" s="90"/>
    </row>
    <row r="29" spans="1:11" ht="56.25" x14ac:dyDescent="0.3">
      <c r="A29" s="89">
        <v>25</v>
      </c>
      <c r="B29" s="33" t="s">
        <v>32</v>
      </c>
      <c r="C29" s="80"/>
      <c r="D29" s="80">
        <f>D25*D28</f>
        <v>27321066.549632959</v>
      </c>
      <c r="E29" s="96"/>
      <c r="F29" s="113"/>
      <c r="G29" s="43"/>
      <c r="H29" s="113"/>
      <c r="I29" s="43"/>
      <c r="J29" s="94"/>
      <c r="K29" s="90"/>
    </row>
    <row r="30" spans="1:11" ht="37.5" x14ac:dyDescent="0.3">
      <c r="A30" s="89">
        <v>26</v>
      </c>
      <c r="B30" s="82" t="s">
        <v>84</v>
      </c>
      <c r="C30" s="20">
        <f>C25/C21*100</f>
        <v>41.140400897011332</v>
      </c>
      <c r="D30" s="83">
        <f>D29/D21*100</f>
        <v>38.811698959444655</v>
      </c>
      <c r="E30" s="96">
        <f t="shared" si="0"/>
        <v>94.339622641509436</v>
      </c>
      <c r="F30" s="113"/>
      <c r="G30" s="43"/>
      <c r="H30" s="113"/>
      <c r="I30" s="43"/>
      <c r="J30" s="94"/>
      <c r="K30" s="90"/>
    </row>
    <row r="31" spans="1:11" ht="75" x14ac:dyDescent="0.3">
      <c r="A31" s="89">
        <v>27</v>
      </c>
      <c r="B31" s="19" t="s">
        <v>78</v>
      </c>
      <c r="C31" s="80"/>
      <c r="D31" s="79">
        <f>D25-D29</f>
        <v>1639263.9929779768</v>
      </c>
      <c r="E31" s="96"/>
      <c r="F31" s="113"/>
      <c r="G31" s="43"/>
      <c r="H31" s="113"/>
      <c r="I31" s="43"/>
      <c r="J31" s="94"/>
      <c r="K31" s="90"/>
    </row>
    <row r="32" spans="1:11" ht="53.25" customHeight="1" x14ac:dyDescent="0.3">
      <c r="A32" s="89">
        <v>28</v>
      </c>
      <c r="B32" s="86" t="s">
        <v>83</v>
      </c>
      <c r="C32" s="85">
        <v>220591375</v>
      </c>
      <c r="D32" s="85">
        <f>D11+D15+D18+D21-D31</f>
        <v>243087306.02617767</v>
      </c>
      <c r="E32" s="98">
        <f t="shared" si="0"/>
        <v>110.19801024685469</v>
      </c>
      <c r="F32" s="113">
        <f>F11+F15+F18+F21</f>
        <v>232213402</v>
      </c>
      <c r="G32" s="38">
        <f>F32/D32*100</f>
        <v>95.526749543636527</v>
      </c>
      <c r="H32" s="113">
        <f>H9</f>
        <v>257312000</v>
      </c>
      <c r="I32" s="43"/>
      <c r="J32" s="94"/>
      <c r="K32" s="90"/>
    </row>
    <row r="33" spans="1:13" ht="18.75" x14ac:dyDescent="0.3">
      <c r="A33" s="89">
        <v>29</v>
      </c>
      <c r="B33" s="1" t="s">
        <v>44</v>
      </c>
      <c r="C33" s="6">
        <v>39271042</v>
      </c>
      <c r="D33" s="6">
        <f>D32*18/100</f>
        <v>43755715.084711984</v>
      </c>
      <c r="E33" s="95">
        <f t="shared" si="0"/>
        <v>111.4197965124327</v>
      </c>
      <c r="F33" s="113"/>
      <c r="G33" s="43"/>
      <c r="H33" s="113"/>
      <c r="I33" s="43"/>
      <c r="J33" s="94"/>
      <c r="K33" s="90"/>
    </row>
    <row r="34" spans="1:13" ht="18.75" x14ac:dyDescent="0.3">
      <c r="A34" s="89">
        <v>30</v>
      </c>
      <c r="B34" s="87" t="s">
        <v>75</v>
      </c>
      <c r="C34" s="85">
        <v>220591375</v>
      </c>
      <c r="D34" s="85">
        <f>D32</f>
        <v>243087306.02617767</v>
      </c>
      <c r="E34" s="98">
        <f t="shared" si="0"/>
        <v>110.19801024685469</v>
      </c>
      <c r="F34" s="113"/>
      <c r="G34" s="43"/>
      <c r="H34" s="113">
        <f>H12+H16+H22</f>
        <v>45766920.484552458</v>
      </c>
      <c r="I34" s="43"/>
      <c r="J34" s="94"/>
      <c r="K34" s="90"/>
    </row>
    <row r="35" spans="1:13" ht="37.5" x14ac:dyDescent="0.3">
      <c r="A35" s="89">
        <v>31</v>
      </c>
      <c r="B35" s="7" t="s">
        <v>76</v>
      </c>
      <c r="C35" s="6">
        <v>39706447.5</v>
      </c>
      <c r="D35" s="6">
        <f>D34*18/100</f>
        <v>43755715.084711984</v>
      </c>
      <c r="E35" s="95">
        <f t="shared" si="0"/>
        <v>110.19801024685469</v>
      </c>
      <c r="F35" s="113">
        <f>F32*18/100</f>
        <v>41798412.359999999</v>
      </c>
      <c r="G35" s="43"/>
      <c r="H35" s="113">
        <f>H34</f>
        <v>45766920.484552458</v>
      </c>
      <c r="I35" s="43"/>
      <c r="J35" s="94"/>
      <c r="K35" s="90"/>
    </row>
    <row r="36" spans="1:13" ht="18.75" x14ac:dyDescent="0.3">
      <c r="A36" s="89">
        <v>32</v>
      </c>
      <c r="B36" s="26" t="s">
        <v>60</v>
      </c>
      <c r="C36" s="25">
        <v>434849</v>
      </c>
      <c r="D36" s="25">
        <f>D14+D23</f>
        <v>488183.12597501901</v>
      </c>
      <c r="E36" s="95">
        <f t="shared" si="0"/>
        <v>112.26497611240201</v>
      </c>
      <c r="F36" s="113">
        <f>456234+36357</f>
        <v>492591</v>
      </c>
      <c r="G36" s="43">
        <f>F36/D36*100</f>
        <v>100.90291404812024</v>
      </c>
      <c r="H36" s="113">
        <f>F36*101/100</f>
        <v>497516.91</v>
      </c>
      <c r="I36" s="43"/>
      <c r="J36" s="94"/>
      <c r="K36" s="90"/>
    </row>
    <row r="37" spans="1:13" ht="37.5" x14ac:dyDescent="0.3">
      <c r="A37" s="89">
        <v>33</v>
      </c>
      <c r="B37" s="7" t="s">
        <v>77</v>
      </c>
      <c r="C37" s="6">
        <v>39271598.5</v>
      </c>
      <c r="D37" s="6">
        <f>D35-D36</f>
        <v>43267531.958736964</v>
      </c>
      <c r="E37" s="95">
        <f t="shared" si="0"/>
        <v>110.17512301857781</v>
      </c>
      <c r="F37" s="113">
        <f>F35-F36</f>
        <v>41305821.359999999</v>
      </c>
      <c r="G37" s="43"/>
      <c r="H37" s="113">
        <f>H35-H36</f>
        <v>45269403.574552462</v>
      </c>
      <c r="I37" s="43"/>
      <c r="J37" s="94"/>
      <c r="K37" s="90"/>
    </row>
    <row r="38" spans="1:13" ht="18.75" x14ac:dyDescent="0.3">
      <c r="A38" s="89">
        <v>34</v>
      </c>
      <c r="B38" s="1" t="s">
        <v>55</v>
      </c>
      <c r="C38" s="6">
        <v>94.839251323064929</v>
      </c>
      <c r="D38" s="6">
        <v>95</v>
      </c>
      <c r="E38" s="95">
        <f t="shared" si="0"/>
        <v>100.16949593622107</v>
      </c>
      <c r="F38" s="113">
        <v>95</v>
      </c>
      <c r="G38" s="43"/>
      <c r="H38" s="113">
        <v>95</v>
      </c>
      <c r="I38" s="43"/>
      <c r="J38" s="94"/>
      <c r="K38" s="90"/>
    </row>
    <row r="39" spans="1:13" ht="18.75" x14ac:dyDescent="0.3">
      <c r="A39" s="89">
        <v>35</v>
      </c>
      <c r="B39" s="2" t="s">
        <v>56</v>
      </c>
      <c r="C39" s="25">
        <v>37244890</v>
      </c>
      <c r="D39" s="25">
        <f>D37*D38/100</f>
        <v>41104155.360800117</v>
      </c>
      <c r="E39" s="99">
        <f t="shared" si="0"/>
        <v>110.36186537482087</v>
      </c>
      <c r="F39" s="113">
        <f>F37*F38/100</f>
        <v>39240530.291999996</v>
      </c>
      <c r="G39" s="43"/>
      <c r="H39" s="113">
        <f>H37*H38/100</f>
        <v>43005933.395824842</v>
      </c>
      <c r="I39" s="43"/>
      <c r="J39" s="94"/>
      <c r="K39" s="90"/>
    </row>
    <row r="40" spans="1:13" ht="18.75" x14ac:dyDescent="0.3">
      <c r="A40" s="89">
        <v>36</v>
      </c>
      <c r="B40" s="2" t="s">
        <v>58</v>
      </c>
      <c r="C40" s="25">
        <f>C39*95/100</f>
        <v>35382645.5</v>
      </c>
      <c r="D40" s="25">
        <f>D39*95/100</f>
        <v>39048947.592760108</v>
      </c>
      <c r="E40" s="99">
        <f t="shared" si="0"/>
        <v>110.36186537482084</v>
      </c>
      <c r="F40" s="113">
        <f>F39*95/100</f>
        <v>37278503.777399994</v>
      </c>
      <c r="G40" s="43"/>
      <c r="H40" s="113">
        <f>H39*95/100</f>
        <v>40855636.726033598</v>
      </c>
      <c r="I40" s="43"/>
      <c r="J40" s="94"/>
      <c r="K40" s="90"/>
    </row>
    <row r="41" spans="1:13" ht="19.5" thickBot="1" x14ac:dyDescent="0.35">
      <c r="A41" s="91"/>
      <c r="B41" s="92"/>
      <c r="C41" s="92"/>
      <c r="D41" s="92"/>
      <c r="E41" s="100"/>
      <c r="F41" s="114"/>
      <c r="G41" s="115"/>
      <c r="H41" s="114"/>
      <c r="I41" s="115"/>
      <c r="J41" s="92"/>
      <c r="K41" s="93"/>
      <c r="M41" t="s">
        <v>85</v>
      </c>
    </row>
    <row r="42" spans="1:13" x14ac:dyDescent="0.25">
      <c r="D42" s="30"/>
    </row>
    <row r="43" spans="1:13" x14ac:dyDescent="0.25">
      <c r="B43" t="s">
        <v>94</v>
      </c>
      <c r="D43" s="30"/>
      <c r="F43" s="118">
        <v>45993718</v>
      </c>
    </row>
    <row r="44" spans="1:13" x14ac:dyDescent="0.25">
      <c r="F44" s="30">
        <f>F43-F39</f>
        <v>6753187.7080000043</v>
      </c>
    </row>
    <row r="45" spans="1:13" x14ac:dyDescent="0.25">
      <c r="F45" s="76">
        <f>F44/F43*100</f>
        <v>14.682848009808652</v>
      </c>
      <c r="L45" t="s">
        <v>86</v>
      </c>
    </row>
    <row r="46" spans="1:13" x14ac:dyDescent="0.25">
      <c r="B46" t="s">
        <v>88</v>
      </c>
      <c r="D46" s="30">
        <f>D39*12/100</f>
        <v>4932498.6432960145</v>
      </c>
      <c r="F46" s="30">
        <f>F39*12/100</f>
        <v>4708863.6350399991</v>
      </c>
      <c r="H46" s="30">
        <f>H39*12/100</f>
        <v>5160712.0074989805</v>
      </c>
    </row>
    <row r="47" spans="1:13" x14ac:dyDescent="0.25">
      <c r="B47" t="s">
        <v>89</v>
      </c>
      <c r="D47" s="30">
        <f>D39*2/100</f>
        <v>822083.1072160023</v>
      </c>
      <c r="F47" s="30">
        <f>F39*2/100</f>
        <v>784810.60583999986</v>
      </c>
      <c r="H47" s="30">
        <f>H39*2/100</f>
        <v>860118.66791649687</v>
      </c>
    </row>
    <row r="48" spans="1:13" x14ac:dyDescent="0.25">
      <c r="B48" t="s">
        <v>90</v>
      </c>
      <c r="D48" s="30">
        <f>D39*2/100</f>
        <v>822083.1072160023</v>
      </c>
      <c r="F48" s="30">
        <f>F39*2/100</f>
        <v>784810.60583999986</v>
      </c>
      <c r="H48" s="30">
        <f>H39*2/100</f>
        <v>860118.66791649687</v>
      </c>
      <c r="I48" t="s">
        <v>87</v>
      </c>
    </row>
    <row r="50" spans="2:8" x14ac:dyDescent="0.25">
      <c r="B50" t="s">
        <v>93</v>
      </c>
      <c r="D50" s="118">
        <f>D39+D46+D47+D48</f>
        <v>47680820.218528137</v>
      </c>
      <c r="F50" s="118">
        <f>F39+F46+F47+F48</f>
        <v>45519015.138719991</v>
      </c>
      <c r="H50" s="118">
        <f>H39+H46+H47+H48</f>
        <v>49886882.73915682</v>
      </c>
    </row>
    <row r="51" spans="2:8" x14ac:dyDescent="0.25">
      <c r="D51" s="116">
        <f>F43/D50*100</f>
        <v>96.461675342840365</v>
      </c>
      <c r="F51" s="116">
        <f>F43/F50*100</f>
        <v>101.04286716185169</v>
      </c>
    </row>
    <row r="52" spans="2:8" x14ac:dyDescent="0.25">
      <c r="H52" s="3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0"/>
  <sheetViews>
    <sheetView topLeftCell="A43" zoomScaleNormal="100" workbookViewId="0">
      <selection activeCell="G8" sqref="G8"/>
    </sheetView>
  </sheetViews>
  <sheetFormatPr defaultRowHeight="15" x14ac:dyDescent="0.25"/>
  <cols>
    <col min="1" max="1" width="4.85546875" customWidth="1"/>
    <col min="2" max="2" width="31.42578125" customWidth="1"/>
    <col min="3" max="3" width="17.7109375" customWidth="1"/>
    <col min="4" max="4" width="16.7109375" customWidth="1"/>
    <col min="5" max="5" width="9.5703125" bestFit="1" customWidth="1"/>
    <col min="6" max="6" width="18.42578125" customWidth="1"/>
    <col min="7" max="7" width="10.42578125" customWidth="1"/>
    <col min="8" max="8" width="18.42578125" customWidth="1"/>
    <col min="9" max="9" width="11.42578125" customWidth="1"/>
    <col min="10" max="10" width="18.28515625" customWidth="1"/>
    <col min="11" max="11" width="10.85546875" customWidth="1"/>
    <col min="12" max="12" width="17.28515625" customWidth="1"/>
    <col min="13" max="13" width="9.5703125" bestFit="1" customWidth="1"/>
  </cols>
  <sheetData>
    <row r="2" spans="1:13" ht="21.75" thickBot="1" x14ac:dyDescent="0.4">
      <c r="B2" s="112" t="s">
        <v>61</v>
      </c>
      <c r="C2" s="28"/>
      <c r="D2" s="28"/>
      <c r="E2" s="28"/>
      <c r="F2" s="28"/>
      <c r="G2" s="28"/>
      <c r="H2" s="28"/>
      <c r="I2" s="28"/>
      <c r="J2" s="28"/>
      <c r="K2" s="28"/>
    </row>
    <row r="3" spans="1:13" ht="75.75" thickBot="1" x14ac:dyDescent="0.35">
      <c r="A3" s="107"/>
      <c r="B3" s="4" t="s">
        <v>62</v>
      </c>
      <c r="C3" s="108" t="s">
        <v>63</v>
      </c>
      <c r="D3" s="4" t="s">
        <v>64</v>
      </c>
      <c r="E3" s="109" t="s">
        <v>65</v>
      </c>
      <c r="F3" s="110" t="s">
        <v>91</v>
      </c>
      <c r="G3" s="109" t="s">
        <v>92</v>
      </c>
      <c r="H3" s="110" t="s">
        <v>79</v>
      </c>
      <c r="I3" s="109" t="s">
        <v>80</v>
      </c>
      <c r="J3" s="111" t="s">
        <v>100</v>
      </c>
      <c r="K3" s="133" t="s">
        <v>101</v>
      </c>
      <c r="L3" s="1">
        <v>2018</v>
      </c>
      <c r="M3" s="60"/>
    </row>
    <row r="4" spans="1:13" ht="18.75" x14ac:dyDescent="0.3">
      <c r="A4" s="101">
        <v>1</v>
      </c>
      <c r="B4" s="102" t="s">
        <v>66</v>
      </c>
      <c r="C4" s="103">
        <v>1963452.7</v>
      </c>
      <c r="D4" s="5">
        <v>2134429.9</v>
      </c>
      <c r="E4" s="104">
        <f>D4/C4*100</f>
        <v>108.70798670118205</v>
      </c>
      <c r="F4" s="119">
        <v>2194200</v>
      </c>
      <c r="G4" s="124">
        <f>F4/D4*100</f>
        <v>102.80028404774501</v>
      </c>
      <c r="H4" s="119">
        <v>2339200</v>
      </c>
      <c r="I4" s="121">
        <f>H4/D4*100</f>
        <v>109.59366714268761</v>
      </c>
      <c r="J4" s="130">
        <v>2165935</v>
      </c>
      <c r="K4" s="9"/>
      <c r="L4" s="6">
        <v>2519988</v>
      </c>
      <c r="M4" s="60"/>
    </row>
    <row r="5" spans="1:13" ht="37.5" x14ac:dyDescent="0.3">
      <c r="A5" s="89">
        <v>2</v>
      </c>
      <c r="B5" s="7" t="s">
        <v>67</v>
      </c>
      <c r="C5" s="78">
        <f>C31/(C4*1000)*100</f>
        <v>11.234870847665441</v>
      </c>
      <c r="D5" s="13">
        <f>D31/(D4*1000)*100</f>
        <v>11.388863416230146</v>
      </c>
      <c r="E5" s="95">
        <f t="shared" ref="E5:E39" si="0">D5/C5*100</f>
        <v>101.3706661220472</v>
      </c>
      <c r="F5" s="120">
        <f>F31/(D4*1000)*100</f>
        <v>10.879411031489017</v>
      </c>
      <c r="G5" s="90"/>
      <c r="H5" s="120">
        <v>11</v>
      </c>
      <c r="I5" s="43"/>
      <c r="J5" s="131">
        <v>8</v>
      </c>
      <c r="K5" s="10"/>
      <c r="L5" s="6">
        <f>(C5*D5*F5*H5*J5)^(1/5)</f>
        <v>10.414233364222088</v>
      </c>
      <c r="M5" s="60"/>
    </row>
    <row r="6" spans="1:13" ht="37.5" x14ac:dyDescent="0.3">
      <c r="A6" s="89">
        <v>3</v>
      </c>
      <c r="B6" s="7" t="s">
        <v>68</v>
      </c>
      <c r="C6" s="6">
        <v>275078</v>
      </c>
      <c r="D6" s="123">
        <v>228124</v>
      </c>
      <c r="E6" s="95">
        <f t="shared" si="0"/>
        <v>82.930659667439784</v>
      </c>
      <c r="F6" s="113">
        <v>335000</v>
      </c>
      <c r="G6" s="90"/>
      <c r="H6" s="113"/>
      <c r="I6" s="43"/>
      <c r="J6" s="131"/>
      <c r="K6" s="10"/>
      <c r="L6" s="6"/>
      <c r="M6" s="60"/>
    </row>
    <row r="7" spans="1:13" ht="37.5" x14ac:dyDescent="0.3">
      <c r="A7" s="89">
        <v>4</v>
      </c>
      <c r="B7" s="7" t="s">
        <v>59</v>
      </c>
      <c r="C7" s="13">
        <f>C31/(C6*1000)*100</f>
        <v>80.192300002181199</v>
      </c>
      <c r="D7" s="13">
        <f>D31/(D6*1000)*100</f>
        <v>106.55928618916803</v>
      </c>
      <c r="E7" s="95">
        <f t="shared" si="0"/>
        <v>132.87969815838886</v>
      </c>
      <c r="F7" s="113">
        <f>F8/(F6*1000)*100</f>
        <v>69.317433432835813</v>
      </c>
      <c r="G7" s="90"/>
      <c r="H7" s="113"/>
      <c r="I7" s="43"/>
      <c r="J7" s="131"/>
      <c r="K7" s="10"/>
      <c r="L7" s="6"/>
      <c r="M7" s="60"/>
    </row>
    <row r="8" spans="1:13" ht="37.5" x14ac:dyDescent="0.3">
      <c r="A8" s="89">
        <v>5</v>
      </c>
      <c r="B8" s="19" t="s">
        <v>69</v>
      </c>
      <c r="C8" s="16"/>
      <c r="D8" s="79">
        <f>C5*(D4*1000)/100</f>
        <v>239800442.59895462</v>
      </c>
      <c r="E8" s="96"/>
      <c r="F8" s="113">
        <f>F31</f>
        <v>232213402</v>
      </c>
      <c r="G8" s="38">
        <f>F8/D8*100</f>
        <v>96.836102337124004</v>
      </c>
      <c r="H8" s="113">
        <f>(H4*1000)*11/100</f>
        <v>257312000</v>
      </c>
      <c r="I8" s="38">
        <f>H8/F8*100</f>
        <v>110.80841923154804</v>
      </c>
      <c r="J8" s="131">
        <v>174955406</v>
      </c>
      <c r="K8" s="10"/>
      <c r="L8" s="6">
        <f>(L4*1000)*L5/100</f>
        <v>262437431.07039291</v>
      </c>
      <c r="M8" s="60"/>
    </row>
    <row r="9" spans="1:13" ht="18.75" x14ac:dyDescent="0.3">
      <c r="A9" s="89">
        <v>6</v>
      </c>
      <c r="B9" s="26" t="s">
        <v>70</v>
      </c>
      <c r="C9" s="25"/>
      <c r="D9" s="25"/>
      <c r="E9" s="95"/>
      <c r="F9" s="113"/>
      <c r="G9" s="43"/>
      <c r="H9" s="113"/>
      <c r="I9" s="43"/>
      <c r="J9" s="131"/>
      <c r="K9" s="10"/>
      <c r="L9" s="6"/>
      <c r="M9" s="60"/>
    </row>
    <row r="10" spans="1:13" ht="56.25" x14ac:dyDescent="0.3">
      <c r="A10" s="89">
        <v>7</v>
      </c>
      <c r="B10" s="86" t="s">
        <v>39</v>
      </c>
      <c r="C10" s="85">
        <v>133884261</v>
      </c>
      <c r="D10" s="85">
        <f>C12*D8/100</f>
        <v>145542884.64285588</v>
      </c>
      <c r="E10" s="97">
        <f t="shared" si="0"/>
        <v>108.70798670118207</v>
      </c>
      <c r="F10" s="113">
        <v>143053366</v>
      </c>
      <c r="G10" s="38">
        <f>F10/D10*100</f>
        <v>98.289494777456937</v>
      </c>
      <c r="H10" s="113">
        <f>H8*F12/100</f>
        <v>158515173.52212083</v>
      </c>
      <c r="I10" s="38">
        <f>H10/F10*100</f>
        <v>110.80841923154804</v>
      </c>
      <c r="J10" s="131">
        <f>J8*H12/100</f>
        <v>107779996.81601751</v>
      </c>
      <c r="K10" s="10"/>
      <c r="L10" s="6">
        <f>J10*K11/100</f>
        <v>114019659.35917532</v>
      </c>
      <c r="M10" s="60"/>
    </row>
    <row r="11" spans="1:13" ht="37.5" x14ac:dyDescent="0.3">
      <c r="A11" s="89">
        <v>8</v>
      </c>
      <c r="B11" s="7" t="s">
        <v>40</v>
      </c>
      <c r="C11" s="6">
        <v>24064181</v>
      </c>
      <c r="D11" s="6">
        <f>D10*18/100</f>
        <v>26197719.235714059</v>
      </c>
      <c r="E11" s="95">
        <f t="shared" si="0"/>
        <v>108.86603302939774</v>
      </c>
      <c r="F11" s="113">
        <v>25713195</v>
      </c>
      <c r="G11" s="38">
        <f t="shared" ref="G11:G21" si="1">F11/D11*100</f>
        <v>98.150509854103902</v>
      </c>
      <c r="H11" s="113">
        <f>F11*I11/100</f>
        <v>28490220.059999999</v>
      </c>
      <c r="I11" s="38">
        <v>110.8</v>
      </c>
      <c r="J11" s="131">
        <f>J10*17/100</f>
        <v>18322599.458722979</v>
      </c>
      <c r="K11" s="10">
        <f>(E11*G11*I11)^(1/3)</f>
        <v>105.78925842223677</v>
      </c>
      <c r="L11" s="123">
        <f>L10*17/100</f>
        <v>19383342.091059804</v>
      </c>
      <c r="M11" s="60"/>
    </row>
    <row r="12" spans="1:13" ht="56.25" x14ac:dyDescent="0.3">
      <c r="A12" s="89">
        <v>9</v>
      </c>
      <c r="B12" s="77" t="s">
        <v>72</v>
      </c>
      <c r="C12" s="13">
        <f>C10/C31*100</f>
        <v>60.693334451539641</v>
      </c>
      <c r="D12" s="13">
        <f>C12</f>
        <v>60.693334451539641</v>
      </c>
      <c r="E12" s="95">
        <f t="shared" si="0"/>
        <v>100</v>
      </c>
      <c r="F12" s="120">
        <f>F10/F31*100</f>
        <v>61.604267784681952</v>
      </c>
      <c r="G12" s="38">
        <f t="shared" si="1"/>
        <v>101.50087870665541</v>
      </c>
      <c r="H12" s="120">
        <f>H10/H8*100</f>
        <v>61.604267784681952</v>
      </c>
      <c r="I12" s="38"/>
      <c r="J12" s="131"/>
      <c r="K12" s="10"/>
      <c r="L12" s="6"/>
      <c r="M12" s="60"/>
    </row>
    <row r="13" spans="1:13" ht="18.75" x14ac:dyDescent="0.3">
      <c r="A13" s="89">
        <v>10</v>
      </c>
      <c r="B13" s="2" t="s">
        <v>71</v>
      </c>
      <c r="C13" s="25">
        <v>34894</v>
      </c>
      <c r="D13" s="25">
        <f>C13/C10*D10</f>
        <v>37932.564879510472</v>
      </c>
      <c r="E13" s="95">
        <f t="shared" si="0"/>
        <v>108.70798670118207</v>
      </c>
      <c r="F13" s="113"/>
      <c r="G13" s="38">
        <f t="shared" si="1"/>
        <v>0</v>
      </c>
      <c r="H13" s="113"/>
      <c r="I13" s="38"/>
      <c r="J13" s="131"/>
      <c r="K13" s="10"/>
      <c r="L13" s="6"/>
      <c r="M13" s="60"/>
    </row>
    <row r="14" spans="1:13" ht="37.5" x14ac:dyDescent="0.3">
      <c r="A14" s="89">
        <v>11</v>
      </c>
      <c r="B14" s="88" t="s">
        <v>43</v>
      </c>
      <c r="C14" s="85">
        <v>21939442</v>
      </c>
      <c r="D14" s="85">
        <f>D16*D8/100</f>
        <v>28776053.111874551</v>
      </c>
      <c r="E14" s="97">
        <f t="shared" si="0"/>
        <v>131.16128072844583</v>
      </c>
      <c r="F14" s="113">
        <v>18608280</v>
      </c>
      <c r="G14" s="38">
        <f t="shared" si="1"/>
        <v>64.665852289246786</v>
      </c>
      <c r="H14" s="113">
        <f>F16*H8/100</f>
        <v>20619540.914180309</v>
      </c>
      <c r="I14" s="38">
        <f t="shared" ref="I14:I20" si="2">H14/F14*100</f>
        <v>110.80841923154804</v>
      </c>
      <c r="J14" s="131">
        <f>H16*J8/100</f>
        <v>14019945.250023425</v>
      </c>
      <c r="K14" s="10"/>
      <c r="L14" s="6">
        <f>J14*K15/100</f>
        <v>13732961.93085999</v>
      </c>
      <c r="M14" s="60"/>
    </row>
    <row r="15" spans="1:13" ht="18.75" x14ac:dyDescent="0.3">
      <c r="A15" s="89">
        <v>12</v>
      </c>
      <c r="B15" s="6" t="s">
        <v>44</v>
      </c>
      <c r="C15" s="6">
        <v>3949097</v>
      </c>
      <c r="D15" s="6">
        <f>D14*18/100</f>
        <v>5179689.560137419</v>
      </c>
      <c r="E15" s="95">
        <f t="shared" si="0"/>
        <v>131.16136575367531</v>
      </c>
      <c r="F15" s="113">
        <v>3349488</v>
      </c>
      <c r="G15" s="38">
        <f t="shared" si="1"/>
        <v>64.66580595442359</v>
      </c>
      <c r="H15" s="113">
        <f>H14*18/100</f>
        <v>3711517.3645524555</v>
      </c>
      <c r="I15" s="38">
        <f t="shared" si="2"/>
        <v>110.80849862881897</v>
      </c>
      <c r="J15" s="131">
        <f>J14*17/100</f>
        <v>2383390.6925039822</v>
      </c>
      <c r="K15" s="10">
        <f>(E15*G15*I15)^(1/3)</f>
        <v>97.953035378915231</v>
      </c>
      <c r="L15" s="123">
        <f>L14*17/100</f>
        <v>2334603.5282461983</v>
      </c>
      <c r="M15" s="60"/>
    </row>
    <row r="16" spans="1:13" ht="18.75" x14ac:dyDescent="0.3">
      <c r="A16" s="89">
        <v>13</v>
      </c>
      <c r="B16" s="1" t="s">
        <v>45</v>
      </c>
      <c r="C16" s="13">
        <f>C14/C31*100</f>
        <v>9.9457388123175718</v>
      </c>
      <c r="D16" s="73">
        <v>12</v>
      </c>
      <c r="E16" s="95">
        <f t="shared" si="0"/>
        <v>120.65468665976098</v>
      </c>
      <c r="F16" s="120">
        <f>F14/F31*100</f>
        <v>8.0134392932239109</v>
      </c>
      <c r="G16" s="38">
        <f t="shared" si="1"/>
        <v>66.778660776865934</v>
      </c>
      <c r="H16" s="120">
        <f>H14/H8*100</f>
        <v>8.0134392932239109</v>
      </c>
      <c r="I16" s="38"/>
      <c r="J16" s="131"/>
      <c r="K16" s="10"/>
      <c r="L16" s="6"/>
      <c r="M16" s="60"/>
    </row>
    <row r="17" spans="1:13" ht="56.25" x14ac:dyDescent="0.3">
      <c r="A17" s="89">
        <v>14</v>
      </c>
      <c r="B17" s="86" t="s">
        <v>46</v>
      </c>
      <c r="C17" s="85">
        <v>12637</v>
      </c>
      <c r="D17" s="85">
        <f>C19*D8/100</f>
        <v>13737.428279428375</v>
      </c>
      <c r="E17" s="97">
        <f t="shared" si="0"/>
        <v>108.70798670118205</v>
      </c>
      <c r="F17" s="113">
        <v>738</v>
      </c>
      <c r="G17" s="38">
        <f t="shared" si="1"/>
        <v>5.3721845529497365</v>
      </c>
      <c r="H17" s="113"/>
      <c r="I17" s="38"/>
      <c r="J17" s="131"/>
      <c r="K17" s="10"/>
      <c r="L17" s="6"/>
      <c r="M17" s="60"/>
    </row>
    <row r="18" spans="1:13" ht="18.75" x14ac:dyDescent="0.3">
      <c r="A18" s="89">
        <v>15</v>
      </c>
      <c r="B18" s="1" t="s">
        <v>44</v>
      </c>
      <c r="C18" s="6">
        <v>2275</v>
      </c>
      <c r="D18" s="6">
        <f>D17*18/100</f>
        <v>2472.7370902971074</v>
      </c>
      <c r="E18" s="95">
        <f t="shared" si="0"/>
        <v>108.69174023283989</v>
      </c>
      <c r="F18" s="113">
        <v>132</v>
      </c>
      <c r="G18" s="38">
        <f t="shared" si="1"/>
        <v>5.3382140995887184</v>
      </c>
      <c r="H18" s="113"/>
      <c r="I18" s="38"/>
      <c r="J18" s="131"/>
      <c r="K18" s="10"/>
      <c r="L18" s="6">
        <f>L8</f>
        <v>262437431.07039291</v>
      </c>
      <c r="M18" s="60"/>
    </row>
    <row r="19" spans="1:13" ht="18.75" x14ac:dyDescent="0.3">
      <c r="A19" s="89">
        <v>16</v>
      </c>
      <c r="B19" s="1" t="s">
        <v>47</v>
      </c>
      <c r="C19" s="84">
        <v>5.7286917949534522E-3</v>
      </c>
      <c r="D19" s="84">
        <f>C19</f>
        <v>5.7286917949534522E-3</v>
      </c>
      <c r="E19" s="95">
        <f t="shared" si="0"/>
        <v>100</v>
      </c>
      <c r="F19" s="113"/>
      <c r="G19" s="38">
        <f t="shared" si="1"/>
        <v>0</v>
      </c>
      <c r="H19" s="113"/>
      <c r="I19" s="38"/>
      <c r="J19" s="131"/>
      <c r="K19" s="10"/>
      <c r="L19" s="6"/>
      <c r="M19" s="60"/>
    </row>
    <row r="20" spans="1:13" ht="37.5" x14ac:dyDescent="0.3">
      <c r="A20" s="89">
        <v>17</v>
      </c>
      <c r="B20" s="86" t="s">
        <v>48</v>
      </c>
      <c r="C20" s="85">
        <v>64755035</v>
      </c>
      <c r="D20" s="85">
        <f>C23*D8/100</f>
        <v>70393894.836145788</v>
      </c>
      <c r="E20" s="97">
        <f t="shared" si="0"/>
        <v>108.70798670118207</v>
      </c>
      <c r="F20" s="113">
        <v>70551018</v>
      </c>
      <c r="G20" s="38">
        <f t="shared" si="1"/>
        <v>100.22320566892901</v>
      </c>
      <c r="H20" s="113">
        <f>F23*H8/100</f>
        <v>78176467.797564939</v>
      </c>
      <c r="I20" s="38">
        <f t="shared" si="2"/>
        <v>110.80841923154807</v>
      </c>
      <c r="J20" s="131">
        <f>H23*J8/100</f>
        <v>53154907.906234063</v>
      </c>
      <c r="K20" s="10"/>
      <c r="L20" s="6">
        <f>J20*K21/100</f>
        <v>56567085.131806165</v>
      </c>
      <c r="M20" s="60"/>
    </row>
    <row r="21" spans="1:13" ht="18.75" x14ac:dyDescent="0.3">
      <c r="A21" s="89">
        <v>18</v>
      </c>
      <c r="B21" s="1" t="s">
        <v>44</v>
      </c>
      <c r="C21" s="6">
        <v>11255489</v>
      </c>
      <c r="D21" s="6">
        <f>D20*18/100</f>
        <v>12670901.070506241</v>
      </c>
      <c r="E21" s="95">
        <f t="shared" si="0"/>
        <v>112.57530499568912</v>
      </c>
      <c r="F21" s="113">
        <v>12242945</v>
      </c>
      <c r="G21" s="38">
        <f t="shared" si="1"/>
        <v>96.622528515336739</v>
      </c>
      <c r="H21" s="113">
        <f>F21*I21/100</f>
        <v>13565183.060000001</v>
      </c>
      <c r="I21" s="38">
        <v>110.8</v>
      </c>
      <c r="J21" s="131"/>
      <c r="K21" s="10">
        <f>(E21*G21*I21)^(1/3)</f>
        <v>106.41930794347574</v>
      </c>
      <c r="L21" s="6">
        <f>L20*17/100</f>
        <v>9616404.4724070486</v>
      </c>
      <c r="M21" s="60"/>
    </row>
    <row r="22" spans="1:13" ht="18.75" x14ac:dyDescent="0.3">
      <c r="A22" s="89">
        <v>19</v>
      </c>
      <c r="B22" s="1" t="s">
        <v>49</v>
      </c>
      <c r="C22" s="6">
        <v>399955</v>
      </c>
      <c r="D22" s="6">
        <f>C22/C21*D21</f>
        <v>450250.56109550851</v>
      </c>
      <c r="E22" s="95">
        <f t="shared" si="0"/>
        <v>112.57530499568915</v>
      </c>
      <c r="F22" s="113"/>
      <c r="G22" s="43"/>
      <c r="H22" s="113"/>
      <c r="I22" s="38"/>
      <c r="J22" s="131"/>
      <c r="K22" s="10"/>
      <c r="L22" s="6"/>
      <c r="M22" s="60"/>
    </row>
    <row r="23" spans="1:13" ht="18.75" x14ac:dyDescent="0.3">
      <c r="A23" s="89">
        <v>20</v>
      </c>
      <c r="B23" s="7" t="s">
        <v>73</v>
      </c>
      <c r="C23" s="13">
        <f>C20/C31*100</f>
        <v>29.355198044347837</v>
      </c>
      <c r="D23" s="13">
        <f>C23</f>
        <v>29.355198044347837</v>
      </c>
      <c r="E23" s="95">
        <f t="shared" si="0"/>
        <v>100</v>
      </c>
      <c r="F23" s="120">
        <f>F20/F31*100</f>
        <v>30.381975110980029</v>
      </c>
      <c r="G23" s="43"/>
      <c r="H23" s="120">
        <f>H20/H8*100</f>
        <v>30.381975110980029</v>
      </c>
      <c r="I23" s="38"/>
      <c r="J23" s="131"/>
      <c r="K23" s="10"/>
      <c r="L23" s="6"/>
      <c r="M23" s="60"/>
    </row>
    <row r="24" spans="1:13" ht="37.5" x14ac:dyDescent="0.3">
      <c r="A24" s="89">
        <v>21</v>
      </c>
      <c r="B24" s="19" t="s">
        <v>74</v>
      </c>
      <c r="C24" s="80">
        <v>26640481</v>
      </c>
      <c r="D24" s="80">
        <f>C29*D20/100</f>
        <v>28960330.542610936</v>
      </c>
      <c r="E24" s="96">
        <f t="shared" si="0"/>
        <v>108.70798670118207</v>
      </c>
      <c r="F24" s="113"/>
      <c r="G24" s="43"/>
      <c r="H24" s="113"/>
      <c r="I24" s="43"/>
      <c r="J24" s="131"/>
      <c r="K24" s="10"/>
      <c r="L24" s="6"/>
      <c r="M24" s="60"/>
    </row>
    <row r="25" spans="1:13" ht="18.75" x14ac:dyDescent="0.3">
      <c r="A25" s="89">
        <v>22</v>
      </c>
      <c r="B25" s="18" t="s">
        <v>52</v>
      </c>
      <c r="C25" s="80">
        <v>4395331</v>
      </c>
      <c r="D25" s="80">
        <f>D24*18/100</f>
        <v>5212859.4976699688</v>
      </c>
      <c r="E25" s="96">
        <f t="shared" si="0"/>
        <v>118.59993019114985</v>
      </c>
      <c r="F25" s="113"/>
      <c r="G25" s="43"/>
      <c r="H25" s="113"/>
      <c r="I25" s="43"/>
      <c r="J25" s="131"/>
      <c r="K25" s="10"/>
      <c r="L25" s="6">
        <v>3290978</v>
      </c>
      <c r="M25" s="60"/>
    </row>
    <row r="26" spans="1:13" ht="18.75" x14ac:dyDescent="0.3">
      <c r="A26" s="89">
        <v>23</v>
      </c>
      <c r="B26" s="18" t="s">
        <v>30</v>
      </c>
      <c r="C26" s="80">
        <v>53</v>
      </c>
      <c r="D26" s="80">
        <v>50</v>
      </c>
      <c r="E26" s="96">
        <f t="shared" si="0"/>
        <v>94.339622641509436</v>
      </c>
      <c r="F26" s="113"/>
      <c r="G26" s="43"/>
      <c r="H26" s="113"/>
      <c r="I26" s="43"/>
      <c r="J26" s="131"/>
      <c r="K26" s="10"/>
      <c r="L26" s="6"/>
      <c r="M26" s="60"/>
    </row>
    <row r="27" spans="1:13" ht="56.25" x14ac:dyDescent="0.3">
      <c r="A27" s="89">
        <v>24</v>
      </c>
      <c r="B27" s="19" t="s">
        <v>31</v>
      </c>
      <c r="C27" s="80"/>
      <c r="D27" s="81">
        <v>0.94339622641509435</v>
      </c>
      <c r="E27" s="96"/>
      <c r="F27" s="113"/>
      <c r="G27" s="43"/>
      <c r="H27" s="113"/>
      <c r="I27" s="43"/>
      <c r="J27" s="131"/>
      <c r="K27" s="10"/>
      <c r="L27" s="6"/>
      <c r="M27" s="60"/>
    </row>
    <row r="28" spans="1:13" ht="56.25" x14ac:dyDescent="0.3">
      <c r="A28" s="89">
        <v>25</v>
      </c>
      <c r="B28" s="33" t="s">
        <v>32</v>
      </c>
      <c r="C28" s="80"/>
      <c r="D28" s="80">
        <f>D24*D27</f>
        <v>27321066.549632959</v>
      </c>
      <c r="E28" s="96"/>
      <c r="F28" s="113"/>
      <c r="G28" s="43"/>
      <c r="H28" s="113"/>
      <c r="I28" s="43"/>
      <c r="J28" s="131"/>
      <c r="K28" s="10"/>
      <c r="L28" s="6"/>
      <c r="M28" s="60"/>
    </row>
    <row r="29" spans="1:13" ht="37.5" x14ac:dyDescent="0.3">
      <c r="A29" s="89">
        <v>26</v>
      </c>
      <c r="B29" s="82" t="s">
        <v>84</v>
      </c>
      <c r="C29" s="20">
        <f>C24/C20*100</f>
        <v>41.140400897011332</v>
      </c>
      <c r="D29" s="83">
        <f>D28/D20*100</f>
        <v>38.811698959444655</v>
      </c>
      <c r="E29" s="96">
        <f t="shared" si="0"/>
        <v>94.339622641509436</v>
      </c>
      <c r="F29" s="113"/>
      <c r="G29" s="43"/>
      <c r="H29" s="113"/>
      <c r="I29" s="43"/>
      <c r="J29" s="131"/>
      <c r="K29" s="10"/>
      <c r="L29" s="6"/>
      <c r="M29" s="60"/>
    </row>
    <row r="30" spans="1:13" ht="75" x14ac:dyDescent="0.3">
      <c r="A30" s="89">
        <v>27</v>
      </c>
      <c r="B30" s="19" t="s">
        <v>78</v>
      </c>
      <c r="C30" s="80"/>
      <c r="D30" s="79">
        <f>D24-D28</f>
        <v>1639263.9929779768</v>
      </c>
      <c r="E30" s="96"/>
      <c r="F30" s="113"/>
      <c r="G30" s="43"/>
      <c r="H30" s="113"/>
      <c r="I30" s="43"/>
      <c r="J30" s="131"/>
      <c r="K30" s="10"/>
      <c r="L30" s="6"/>
      <c r="M30" s="60"/>
    </row>
    <row r="31" spans="1:13" ht="56.25" x14ac:dyDescent="0.3">
      <c r="A31" s="89">
        <v>28</v>
      </c>
      <c r="B31" s="86" t="s">
        <v>83</v>
      </c>
      <c r="C31" s="85">
        <v>220591375</v>
      </c>
      <c r="D31" s="85">
        <f>D10+D14+D17+D20-D30</f>
        <v>243087306.02617767</v>
      </c>
      <c r="E31" s="98">
        <f t="shared" si="0"/>
        <v>110.19801024685469</v>
      </c>
      <c r="F31" s="113">
        <f>F10+F14+F17+F20</f>
        <v>232213402</v>
      </c>
      <c r="G31" s="38">
        <f>F31/D31*100</f>
        <v>95.526749543636527</v>
      </c>
      <c r="H31" s="113">
        <f>H8</f>
        <v>257312000</v>
      </c>
      <c r="I31" s="43"/>
      <c r="J31" s="131">
        <f>J8</f>
        <v>174955406</v>
      </c>
      <c r="K31" s="10"/>
      <c r="L31" s="6">
        <f>L18</f>
        <v>262437431.07039291</v>
      </c>
      <c r="M31" s="60"/>
    </row>
    <row r="32" spans="1:13" ht="18.75" x14ac:dyDescent="0.3">
      <c r="A32" s="89">
        <v>29</v>
      </c>
      <c r="B32" s="1" t="s">
        <v>44</v>
      </c>
      <c r="C32" s="6">
        <v>39271042</v>
      </c>
      <c r="D32" s="6">
        <f>D31*18/100</f>
        <v>43755715.084711984</v>
      </c>
      <c r="E32" s="95">
        <f t="shared" si="0"/>
        <v>111.4197965124327</v>
      </c>
      <c r="F32" s="113"/>
      <c r="G32" s="43"/>
      <c r="H32" s="113"/>
      <c r="I32" s="43"/>
      <c r="J32" s="131"/>
      <c r="K32" s="10"/>
      <c r="L32" s="6"/>
      <c r="M32" s="60"/>
    </row>
    <row r="33" spans="1:13" ht="18.75" x14ac:dyDescent="0.3">
      <c r="A33" s="89">
        <v>30</v>
      </c>
      <c r="B33" s="87" t="s">
        <v>75</v>
      </c>
      <c r="C33" s="85">
        <v>220591375</v>
      </c>
      <c r="D33" s="85">
        <f>D31</f>
        <v>243087306.02617767</v>
      </c>
      <c r="E33" s="98">
        <f t="shared" si="0"/>
        <v>110.19801024685469</v>
      </c>
      <c r="F33" s="113"/>
      <c r="G33" s="43"/>
      <c r="H33" s="113">
        <f>H11+H15+H21</f>
        <v>45766920.484552458</v>
      </c>
      <c r="I33" s="43"/>
      <c r="J33" s="131"/>
      <c r="K33" s="10"/>
      <c r="L33" s="6"/>
      <c r="M33" s="60"/>
    </row>
    <row r="34" spans="1:13" ht="37.5" x14ac:dyDescent="0.3">
      <c r="A34" s="89">
        <v>31</v>
      </c>
      <c r="B34" s="7" t="s">
        <v>76</v>
      </c>
      <c r="C34" s="6">
        <v>39706447.5</v>
      </c>
      <c r="D34" s="6">
        <f>D33*18/100</f>
        <v>43755715.084711984</v>
      </c>
      <c r="E34" s="95">
        <f t="shared" si="0"/>
        <v>110.19801024685469</v>
      </c>
      <c r="F34" s="113">
        <f>F31*18/100</f>
        <v>41798412.359999999</v>
      </c>
      <c r="G34" s="43"/>
      <c r="H34" s="113">
        <f>H33</f>
        <v>45766920.484552458</v>
      </c>
      <c r="I34" s="43"/>
      <c r="J34" s="131">
        <f>J36+J35</f>
        <v>52831430.526315786</v>
      </c>
      <c r="K34" s="10"/>
      <c r="L34" s="6">
        <f>L31*17/100</f>
        <v>44614363.281966791</v>
      </c>
      <c r="M34" s="60"/>
    </row>
    <row r="35" spans="1:13" ht="18.75" x14ac:dyDescent="0.3">
      <c r="A35" s="89">
        <v>32</v>
      </c>
      <c r="B35" s="26" t="s">
        <v>60</v>
      </c>
      <c r="C35" s="25">
        <v>434849</v>
      </c>
      <c r="D35" s="25">
        <f>D13+D22</f>
        <v>488183.12597501901</v>
      </c>
      <c r="E35" s="95">
        <f t="shared" si="0"/>
        <v>112.26497611240201</v>
      </c>
      <c r="F35" s="113">
        <f>456234+36357</f>
        <v>492591</v>
      </c>
      <c r="G35" s="43">
        <f>F35/D35*100</f>
        <v>100.90291404812024</v>
      </c>
      <c r="H35" s="113">
        <f>F35*101/100</f>
        <v>497516.91</v>
      </c>
      <c r="I35" s="43"/>
      <c r="J35" s="131">
        <v>500000</v>
      </c>
      <c r="K35" s="10"/>
      <c r="L35" s="6">
        <f>J35</f>
        <v>500000</v>
      </c>
      <c r="M35" s="60"/>
    </row>
    <row r="36" spans="1:13" ht="37.5" x14ac:dyDescent="0.3">
      <c r="A36" s="89">
        <v>33</v>
      </c>
      <c r="B36" s="7" t="s">
        <v>77</v>
      </c>
      <c r="C36" s="6">
        <v>39271598.5</v>
      </c>
      <c r="D36" s="6">
        <f>D34-D35</f>
        <v>43267531.958736964</v>
      </c>
      <c r="E36" s="95">
        <f t="shared" si="0"/>
        <v>110.17512301857781</v>
      </c>
      <c r="F36" s="113">
        <f>F34-F35</f>
        <v>41305821.359999999</v>
      </c>
      <c r="G36" s="43"/>
      <c r="H36" s="113">
        <f>H34-H35</f>
        <v>45269403.574552462</v>
      </c>
      <c r="I36" s="43"/>
      <c r="J36" s="131">
        <f>J38/J37*100</f>
        <v>52331430.526315786</v>
      </c>
      <c r="K36" s="10"/>
      <c r="L36" s="6">
        <f>L34-L35</f>
        <v>44114363.281966791</v>
      </c>
      <c r="M36" s="60"/>
    </row>
    <row r="37" spans="1:13" ht="18.75" x14ac:dyDescent="0.3">
      <c r="A37" s="89">
        <v>34</v>
      </c>
      <c r="B37" s="1" t="s">
        <v>55</v>
      </c>
      <c r="C37" s="6">
        <v>94.839251323064929</v>
      </c>
      <c r="D37" s="6">
        <v>95</v>
      </c>
      <c r="E37" s="95">
        <f t="shared" si="0"/>
        <v>100.16949593622107</v>
      </c>
      <c r="F37" s="113">
        <v>95</v>
      </c>
      <c r="G37" s="43"/>
      <c r="H37" s="113">
        <v>95</v>
      </c>
      <c r="I37" s="43"/>
      <c r="J37" s="131">
        <v>95</v>
      </c>
      <c r="K37" s="10"/>
      <c r="L37" s="6">
        <v>95</v>
      </c>
      <c r="M37" s="60"/>
    </row>
    <row r="38" spans="1:13" ht="18.75" x14ac:dyDescent="0.3">
      <c r="A38" s="89">
        <v>35</v>
      </c>
      <c r="B38" s="2" t="s">
        <v>56</v>
      </c>
      <c r="C38" s="25">
        <v>37244890</v>
      </c>
      <c r="D38" s="25">
        <f>D36*D37/100</f>
        <v>41104155.360800117</v>
      </c>
      <c r="E38" s="99">
        <f t="shared" si="0"/>
        <v>110.36186537482087</v>
      </c>
      <c r="F38" s="113">
        <f>F36*F37/100</f>
        <v>39240530.291999996</v>
      </c>
      <c r="G38" s="38">
        <f>F38/D38*100</f>
        <v>95.466090830861816</v>
      </c>
      <c r="H38" s="113">
        <f>H36*H37/100</f>
        <v>43005933.395824842</v>
      </c>
      <c r="I38" s="38">
        <f>H38/F38*100</f>
        <v>109.59569882416321</v>
      </c>
      <c r="J38" s="131">
        <v>49714859</v>
      </c>
      <c r="K38" s="10"/>
      <c r="L38" s="6">
        <f>L36*L37/100</f>
        <v>41908645.117868453</v>
      </c>
      <c r="M38" s="60"/>
    </row>
    <row r="39" spans="1:13" ht="18.75" x14ac:dyDescent="0.3">
      <c r="A39" s="89">
        <v>36</v>
      </c>
      <c r="B39" s="2" t="s">
        <v>58</v>
      </c>
      <c r="C39" s="25">
        <f>C38*95/100</f>
        <v>35382645.5</v>
      </c>
      <c r="D39" s="25">
        <f>D38*95/100</f>
        <v>39048947.592760108</v>
      </c>
      <c r="E39" s="99">
        <f t="shared" si="0"/>
        <v>110.36186537482084</v>
      </c>
      <c r="F39" s="113">
        <f>F38*95/100</f>
        <v>37278503.777399994</v>
      </c>
      <c r="G39" s="43"/>
      <c r="H39" s="113">
        <f>H38*95/100</f>
        <v>40855636.726033598</v>
      </c>
      <c r="I39" s="43"/>
      <c r="J39" s="131"/>
      <c r="K39" s="10"/>
      <c r="L39" s="6"/>
      <c r="M39" s="60"/>
    </row>
    <row r="40" spans="1:13" ht="18.600000000000001" thickBot="1" x14ac:dyDescent="0.4">
      <c r="A40" s="91"/>
      <c r="B40" s="92"/>
      <c r="C40" s="92"/>
      <c r="D40" s="92"/>
      <c r="E40" s="100"/>
      <c r="F40" s="114"/>
      <c r="G40" s="115"/>
      <c r="H40" s="114"/>
      <c r="I40" s="115"/>
      <c r="J40" s="132"/>
      <c r="K40" s="132"/>
      <c r="L40" s="6"/>
      <c r="M40" s="60"/>
    </row>
    <row r="41" spans="1:13" ht="18.75" x14ac:dyDescent="0.3">
      <c r="A41" s="60"/>
      <c r="B41" s="2" t="s">
        <v>99</v>
      </c>
      <c r="C41" s="1"/>
      <c r="D41" s="25">
        <f>F41</f>
        <v>45993718</v>
      </c>
      <c r="E41" s="1"/>
      <c r="F41" s="25">
        <v>45993718</v>
      </c>
      <c r="G41" s="1"/>
      <c r="H41" s="1"/>
      <c r="I41" s="1"/>
      <c r="J41" s="6"/>
      <c r="K41" s="10"/>
      <c r="L41" s="6"/>
      <c r="M41" s="60"/>
    </row>
    <row r="42" spans="1:13" ht="56.25" x14ac:dyDescent="0.3">
      <c r="A42" s="60"/>
      <c r="B42" s="26" t="s">
        <v>96</v>
      </c>
      <c r="C42" s="7"/>
      <c r="D42" s="6">
        <f>D44+D45+D46</f>
        <v>6412248.2362848185</v>
      </c>
      <c r="E42" s="1"/>
      <c r="F42" s="6">
        <f>F44+F45+F46</f>
        <v>6121522.7255519992</v>
      </c>
      <c r="G42" s="1"/>
      <c r="H42" s="6">
        <f>H44+H45+H46</f>
        <v>6708925.6097486755</v>
      </c>
      <c r="I42" s="22">
        <f>H42/F42*100</f>
        <v>109.59569882416321</v>
      </c>
      <c r="J42" s="6"/>
      <c r="K42" s="10"/>
      <c r="L42" s="6">
        <f>L44+L45+L46</f>
        <v>6537748.638387478</v>
      </c>
      <c r="M42" s="60"/>
    </row>
    <row r="43" spans="1:13" ht="18.75" x14ac:dyDescent="0.3">
      <c r="A43" s="60"/>
      <c r="B43" s="1"/>
      <c r="C43" s="1"/>
      <c r="D43" s="1"/>
      <c r="E43" s="1" t="s">
        <v>102</v>
      </c>
      <c r="F43" s="22"/>
      <c r="G43" s="1" t="s">
        <v>102</v>
      </c>
      <c r="H43" s="1"/>
      <c r="I43" s="1" t="s">
        <v>102</v>
      </c>
      <c r="J43" s="6"/>
      <c r="K43" s="10"/>
      <c r="L43" s="6"/>
      <c r="M43" s="60"/>
    </row>
    <row r="44" spans="1:13" ht="37.5" x14ac:dyDescent="0.3">
      <c r="A44" s="60"/>
      <c r="B44" s="15" t="s">
        <v>95</v>
      </c>
      <c r="C44" s="15"/>
      <c r="D44" s="16">
        <f>D38*12/100</f>
        <v>4932498.6432960145</v>
      </c>
      <c r="E44" s="126">
        <f>G44</f>
        <v>12</v>
      </c>
      <c r="F44" s="16">
        <f>F38*12/100</f>
        <v>4708863.6350399991</v>
      </c>
      <c r="G44" s="126">
        <f>F44/F38*100</f>
        <v>12</v>
      </c>
      <c r="H44" s="16">
        <f>H38*12/100</f>
        <v>5160712.0074989805</v>
      </c>
      <c r="I44" s="126">
        <f>G44</f>
        <v>12</v>
      </c>
      <c r="J44" s="16">
        <f>J38*I44/100</f>
        <v>5965783.0800000001</v>
      </c>
      <c r="K44" s="17"/>
      <c r="L44" s="6">
        <f>L38*I44/100</f>
        <v>5029037.4141442142</v>
      </c>
      <c r="M44" s="60"/>
    </row>
    <row r="45" spans="1:13" ht="37.5" x14ac:dyDescent="0.3">
      <c r="A45" s="60"/>
      <c r="B45" s="15" t="s">
        <v>89</v>
      </c>
      <c r="C45" s="125"/>
      <c r="D45" s="16">
        <f>D38*2/100</f>
        <v>822083.1072160023</v>
      </c>
      <c r="E45" s="126">
        <f>G45</f>
        <v>1.9999999999999998</v>
      </c>
      <c r="F45" s="16">
        <f>F38*2/100</f>
        <v>784810.60583999986</v>
      </c>
      <c r="G45" s="126">
        <f>F45/F38*100</f>
        <v>1.9999999999999998</v>
      </c>
      <c r="H45" s="16">
        <f>H38*2/100</f>
        <v>860118.66791649687</v>
      </c>
      <c r="I45" s="126">
        <f>G45</f>
        <v>1.9999999999999998</v>
      </c>
      <c r="J45" s="16">
        <f>J38*I45/100</f>
        <v>994297.17999999982</v>
      </c>
      <c r="K45" s="17"/>
      <c r="L45" s="6">
        <f>L38*I45/100</f>
        <v>838172.90235736896</v>
      </c>
      <c r="M45" s="60"/>
    </row>
    <row r="46" spans="1:13" ht="18.75" x14ac:dyDescent="0.3">
      <c r="A46" s="60"/>
      <c r="B46" s="15" t="s">
        <v>90</v>
      </c>
      <c r="C46" s="125"/>
      <c r="D46" s="16">
        <f>D38*G46/100</f>
        <v>657666.48577280191</v>
      </c>
      <c r="E46" s="126">
        <f>G46</f>
        <v>1.6</v>
      </c>
      <c r="F46" s="16">
        <f>F38*G46/100</f>
        <v>627848.48467199993</v>
      </c>
      <c r="G46" s="126">
        <v>1.6</v>
      </c>
      <c r="H46" s="16">
        <f>H38*G46/100</f>
        <v>688094.93433319742</v>
      </c>
      <c r="I46" s="126">
        <f>G46</f>
        <v>1.6</v>
      </c>
      <c r="J46" s="16">
        <f>J38*I46/100</f>
        <v>795437.74400000006</v>
      </c>
      <c r="K46" s="17"/>
      <c r="L46" s="6">
        <f>L38*I46/100</f>
        <v>670538.32188589533</v>
      </c>
      <c r="M46" s="60"/>
    </row>
    <row r="47" spans="1:13" ht="18" x14ac:dyDescent="0.35">
      <c r="A47" s="60"/>
      <c r="B47" s="1"/>
      <c r="C47" s="1"/>
      <c r="D47" s="1"/>
      <c r="E47" s="1"/>
      <c r="F47" s="1"/>
      <c r="G47" s="1"/>
      <c r="H47" s="1"/>
      <c r="I47" s="1"/>
      <c r="J47" s="6"/>
      <c r="K47" s="10"/>
      <c r="L47" s="6"/>
      <c r="M47" s="60"/>
    </row>
    <row r="48" spans="1:13" ht="37.5" x14ac:dyDescent="0.3">
      <c r="A48" s="60"/>
      <c r="B48" s="7" t="s">
        <v>93</v>
      </c>
      <c r="C48" s="7"/>
      <c r="D48" s="25">
        <f>D38+D44+D45+D46</f>
        <v>47516403.597084939</v>
      </c>
      <c r="E48" s="1"/>
      <c r="F48" s="25">
        <f>F38+F44+F45+F46</f>
        <v>45362053.017551996</v>
      </c>
      <c r="G48" s="1"/>
      <c r="H48" s="127">
        <f>H38+H44+H45+H46</f>
        <v>49714859.005573519</v>
      </c>
      <c r="I48" s="1"/>
      <c r="J48" s="6">
        <v>51905868</v>
      </c>
      <c r="K48" s="10"/>
      <c r="L48" s="6">
        <f>L38+L44+L45+L46</f>
        <v>48446393.75625594</v>
      </c>
      <c r="M48" s="60">
        <f>L48/J48*100</f>
        <v>93.335099908657611</v>
      </c>
    </row>
    <row r="49" spans="1:13" ht="18.75" x14ac:dyDescent="0.3">
      <c r="A49" s="60"/>
      <c r="B49" s="1" t="s">
        <v>97</v>
      </c>
      <c r="C49" s="1"/>
      <c r="D49" s="122">
        <f>F41/D48*100</f>
        <v>96.795452766171991</v>
      </c>
      <c r="E49" s="1"/>
      <c r="F49" s="122">
        <f>F41/F48*100</f>
        <v>101.39249645998957</v>
      </c>
      <c r="G49" s="1"/>
      <c r="H49" s="1"/>
      <c r="I49" s="1"/>
      <c r="J49" s="6">
        <f>J48/H48*100</f>
        <v>104.40715117824402</v>
      </c>
      <c r="K49" s="10"/>
      <c r="L49" s="21"/>
      <c r="M49" s="60"/>
    </row>
    <row r="50" spans="1:13" x14ac:dyDescent="0.25">
      <c r="H50" s="30"/>
    </row>
    <row r="51" spans="1:13" x14ac:dyDescent="0.25">
      <c r="B51" t="s">
        <v>98</v>
      </c>
    </row>
    <row r="52" spans="1:13" x14ac:dyDescent="0.25">
      <c r="L52" s="30">
        <f>L48*105/100</f>
        <v>50868713.444068737</v>
      </c>
    </row>
    <row r="53" spans="1:13" ht="18.75" x14ac:dyDescent="0.3">
      <c r="B53" t="s">
        <v>103</v>
      </c>
      <c r="H53" s="128">
        <v>49662789</v>
      </c>
      <c r="L53" s="30">
        <f>L48*95/100</f>
        <v>46024074.068443149</v>
      </c>
    </row>
    <row r="54" spans="1:13" x14ac:dyDescent="0.25">
      <c r="L54" s="30"/>
    </row>
    <row r="55" spans="1:13" x14ac:dyDescent="0.25">
      <c r="B55" t="s">
        <v>104</v>
      </c>
      <c r="C55" s="30">
        <v>32272466</v>
      </c>
      <c r="F55" s="30">
        <v>22306322</v>
      </c>
    </row>
    <row r="56" spans="1:13" x14ac:dyDescent="0.25">
      <c r="B56" t="s">
        <v>105</v>
      </c>
      <c r="C56" s="76">
        <f>C55/C38*100</f>
        <v>86.649379283976941</v>
      </c>
      <c r="F56" s="76">
        <f>F55/F41*100</f>
        <v>48.498627573443834</v>
      </c>
    </row>
    <row r="57" spans="1:13" x14ac:dyDescent="0.25">
      <c r="B57" t="s">
        <v>106</v>
      </c>
      <c r="H57" s="30">
        <v>30147279</v>
      </c>
      <c r="I57" s="76">
        <f>H57/F55*100</f>
        <v>135.15127684429552</v>
      </c>
      <c r="L57" s="30">
        <f>L31*3/100</f>
        <v>7873122.9321117876</v>
      </c>
    </row>
    <row r="58" spans="1:13" x14ac:dyDescent="0.25">
      <c r="B58" t="s">
        <v>107</v>
      </c>
      <c r="C58" s="30">
        <f>C38-C55</f>
        <v>4972424</v>
      </c>
      <c r="F58" s="30">
        <f>F41-F55</f>
        <v>23687396</v>
      </c>
      <c r="L58" s="118">
        <f>L57/4</f>
        <v>1968280.7330279469</v>
      </c>
      <c r="M58">
        <f>L58/1313146*100</f>
        <v>149.89047166331443</v>
      </c>
    </row>
    <row r="59" spans="1:13" x14ac:dyDescent="0.25">
      <c r="B59" t="s">
        <v>105</v>
      </c>
      <c r="C59" s="76">
        <f>C58/C38*100</f>
        <v>13.350620716023057</v>
      </c>
      <c r="F59" s="76">
        <f>F58/F41*100</f>
        <v>51.501372426556166</v>
      </c>
      <c r="H59" s="76">
        <f>H57/H61*100</f>
        <v>60.700409064000681</v>
      </c>
      <c r="I59" s="76">
        <f>(C59*F59*H59)^(1/3)</f>
        <v>34.687310356495239</v>
      </c>
      <c r="L59">
        <v>280000</v>
      </c>
      <c r="M59" t="s">
        <v>111</v>
      </c>
    </row>
    <row r="60" spans="1:13" x14ac:dyDescent="0.25">
      <c r="B60" t="s">
        <v>108</v>
      </c>
      <c r="H60" s="30">
        <f>F58*82.4/100</f>
        <v>19518414.304000001</v>
      </c>
      <c r="I60">
        <f>H60/F58*100</f>
        <v>82.4</v>
      </c>
      <c r="L60">
        <v>3000</v>
      </c>
    </row>
    <row r="61" spans="1:13" x14ac:dyDescent="0.25">
      <c r="H61" s="129">
        <f>H57+H60</f>
        <v>49665693.304000005</v>
      </c>
      <c r="L61" s="118">
        <f>L58+L59+L60</f>
        <v>2251280.7330279471</v>
      </c>
      <c r="M61" t="s">
        <v>112</v>
      </c>
    </row>
    <row r="62" spans="1:13" x14ac:dyDescent="0.25">
      <c r="L62" s="30">
        <f>L61-177638*95/100</f>
        <v>2082524.633027947</v>
      </c>
    </row>
    <row r="63" spans="1:13" x14ac:dyDescent="0.25">
      <c r="B63" t="s">
        <v>109</v>
      </c>
      <c r="H63" s="129">
        <v>51525712</v>
      </c>
      <c r="I63" s="76">
        <f>H63/H48*100</f>
        <v>103.64247838704213</v>
      </c>
      <c r="L63" s="76">
        <f>L61/1639684*100</f>
        <v>137.29967073094249</v>
      </c>
    </row>
    <row r="64" spans="1:13" ht="18.75" x14ac:dyDescent="0.3">
      <c r="B64" t="s">
        <v>110</v>
      </c>
      <c r="H64" s="129">
        <v>52026169</v>
      </c>
      <c r="I64" s="76">
        <f>H64/H48*100</f>
        <v>104.64913315789019</v>
      </c>
      <c r="K64" s="28" t="s">
        <v>121</v>
      </c>
      <c r="L64" s="135" t="s">
        <v>112</v>
      </c>
    </row>
    <row r="65" spans="8:13" ht="18.75" x14ac:dyDescent="0.3">
      <c r="K65" s="135" t="s">
        <v>113</v>
      </c>
      <c r="L65" s="136">
        <v>1732319</v>
      </c>
      <c r="M65" s="135">
        <v>113.8</v>
      </c>
    </row>
    <row r="66" spans="8:13" ht="18.75" x14ac:dyDescent="0.3">
      <c r="J66" s="76">
        <f>L66/L65*100</f>
        <v>108.68852676672138</v>
      </c>
      <c r="K66" s="135" t="s">
        <v>114</v>
      </c>
      <c r="L66" s="136">
        <v>1882832</v>
      </c>
      <c r="M66" s="135">
        <v>219.9</v>
      </c>
    </row>
    <row r="67" spans="8:13" ht="18.75" x14ac:dyDescent="0.3">
      <c r="J67" s="76">
        <f>L67/L66*100</f>
        <v>87.086049100503928</v>
      </c>
      <c r="K67" s="135" t="s">
        <v>115</v>
      </c>
      <c r="L67" s="136">
        <v>1639684</v>
      </c>
      <c r="M67" s="135">
        <v>113.1</v>
      </c>
    </row>
    <row r="68" spans="8:13" ht="18.75" x14ac:dyDescent="0.3">
      <c r="H68" s="30"/>
      <c r="J68" s="76">
        <f>L68/L67*100</f>
        <v>102.12620236582171</v>
      </c>
      <c r="K68" s="135" t="s">
        <v>116</v>
      </c>
      <c r="L68" s="136">
        <v>1674547</v>
      </c>
      <c r="M68" s="135">
        <v>139</v>
      </c>
    </row>
    <row r="69" spans="8:13" ht="18.75" x14ac:dyDescent="0.3">
      <c r="K69" s="135" t="s">
        <v>117</v>
      </c>
      <c r="L69" s="136">
        <v>2033308</v>
      </c>
      <c r="M69" s="135">
        <v>117.4</v>
      </c>
    </row>
    <row r="70" spans="8:13" ht="18.75" x14ac:dyDescent="0.3">
      <c r="K70" s="135" t="s">
        <v>118</v>
      </c>
      <c r="L70" s="136">
        <v>1824538</v>
      </c>
      <c r="M70" s="135">
        <v>96.9</v>
      </c>
    </row>
    <row r="71" spans="8:13" ht="18.75" x14ac:dyDescent="0.3">
      <c r="K71" s="135"/>
      <c r="L71" s="135"/>
      <c r="M71" s="135"/>
    </row>
    <row r="72" spans="8:13" ht="18.75" x14ac:dyDescent="0.3">
      <c r="K72" s="135" t="s">
        <v>119</v>
      </c>
      <c r="L72" s="136">
        <f>(L65+L66+L67+L68)/4</f>
        <v>1732345.5</v>
      </c>
      <c r="M72" s="137">
        <f>(M65*M66*M67*M68*M69*M70)^(1/6)</f>
        <v>128.37273532031563</v>
      </c>
    </row>
    <row r="73" spans="8:13" ht="18.75" x14ac:dyDescent="0.3">
      <c r="K73" s="135" t="s">
        <v>119</v>
      </c>
      <c r="L73" s="136">
        <f>(L69+L70)/2</f>
        <v>1928923</v>
      </c>
      <c r="M73" s="135"/>
    </row>
    <row r="74" spans="8:13" ht="18.75" x14ac:dyDescent="0.3">
      <c r="K74" s="135" t="s">
        <v>120</v>
      </c>
      <c r="L74" s="136">
        <f>L67-177638</f>
        <v>1462046</v>
      </c>
      <c r="M74" s="135"/>
    </row>
    <row r="75" spans="8:13" ht="18.75" x14ac:dyDescent="0.3">
      <c r="J75" s="116">
        <f>L75/L62*100</f>
        <v>90.124669455282003</v>
      </c>
      <c r="K75" s="135" t="s">
        <v>125</v>
      </c>
      <c r="L75" s="134">
        <f>L74*M72/100</f>
        <v>1876868.4418412617</v>
      </c>
      <c r="M75" s="135"/>
    </row>
    <row r="76" spans="8:13" ht="18.75" x14ac:dyDescent="0.3">
      <c r="K76" s="135" t="s">
        <v>122</v>
      </c>
      <c r="L76" s="136">
        <f>L75-L59-L60</f>
        <v>1593868.4418412617</v>
      </c>
      <c r="M76" s="137">
        <f>L76/L67*100</f>
        <v>97.205830016104429</v>
      </c>
    </row>
    <row r="77" spans="8:13" ht="18.75" x14ac:dyDescent="0.3">
      <c r="K77" s="135" t="s">
        <v>123</v>
      </c>
      <c r="L77" s="135">
        <f>L59</f>
        <v>280000</v>
      </c>
      <c r="M77" s="135"/>
    </row>
    <row r="78" spans="8:13" ht="18.75" x14ac:dyDescent="0.3">
      <c r="K78" s="135" t="s">
        <v>124</v>
      </c>
      <c r="L78" s="135">
        <f>L60</f>
        <v>3000</v>
      </c>
      <c r="M78" s="135"/>
    </row>
    <row r="80" spans="8:13" x14ac:dyDescent="0.25">
      <c r="M80" s="76">
        <f>L75/L70*100</f>
        <v>102.86814754426939</v>
      </c>
    </row>
  </sheetData>
  <pageMargins left="0.7" right="0.7" top="0.75" bottom="0.75" header="0.3" footer="0.3"/>
  <pageSetup paperSize="9" scale="68" fitToHeight="0" orientation="landscape" r:id="rId1"/>
  <rowBreaks count="2" manualBreakCount="2">
    <brk id="23" max="12" man="1"/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60" zoomScaleNormal="100" workbookViewId="0">
      <selection activeCell="G8" sqref="G8"/>
    </sheetView>
  </sheetViews>
  <sheetFormatPr defaultRowHeight="15" x14ac:dyDescent="0.25"/>
  <cols>
    <col min="1" max="1" width="57.7109375" customWidth="1"/>
    <col min="2" max="2" width="22.7109375" customWidth="1"/>
    <col min="3" max="3" width="23.7109375" customWidth="1"/>
    <col min="4" max="4" width="12.85546875" customWidth="1"/>
    <col min="5" max="5" width="21.42578125" customWidth="1"/>
    <col min="6" max="6" width="12.5703125" customWidth="1"/>
    <col min="7" max="7" width="21.7109375" customWidth="1"/>
    <col min="8" max="8" width="9.7109375" customWidth="1"/>
    <col min="9" max="9" width="13.28515625" customWidth="1"/>
    <col min="10" max="10" width="8.7109375" customWidth="1"/>
    <col min="11" max="11" width="12.7109375" customWidth="1"/>
    <col min="12" max="12" width="14.42578125" customWidth="1"/>
  </cols>
  <sheetData>
    <row r="1" spans="1:9" ht="23.25" x14ac:dyDescent="0.35">
      <c r="A1" s="138" t="s">
        <v>126</v>
      </c>
      <c r="B1" s="138"/>
      <c r="C1" s="138"/>
      <c r="D1" s="138"/>
      <c r="E1" s="138"/>
      <c r="F1" s="138"/>
      <c r="G1" s="139"/>
      <c r="H1" s="139"/>
    </row>
    <row r="2" spans="1:9" ht="23.45" x14ac:dyDescent="0.45">
      <c r="A2" s="139"/>
      <c r="B2" s="139"/>
      <c r="C2" s="139"/>
      <c r="D2" s="139"/>
      <c r="E2" s="139"/>
      <c r="F2" s="139"/>
      <c r="G2" s="139"/>
      <c r="H2" s="139"/>
    </row>
    <row r="3" spans="1:9" ht="23.25" x14ac:dyDescent="0.35">
      <c r="A3" s="140" t="s">
        <v>127</v>
      </c>
      <c r="B3" s="140">
        <v>2015</v>
      </c>
      <c r="C3" s="140">
        <v>2016</v>
      </c>
      <c r="D3" s="140" t="s">
        <v>129</v>
      </c>
      <c r="E3" s="140">
        <v>2017</v>
      </c>
      <c r="F3" s="140" t="s">
        <v>129</v>
      </c>
      <c r="G3" s="141">
        <v>2018</v>
      </c>
      <c r="H3" s="140" t="s">
        <v>129</v>
      </c>
    </row>
    <row r="4" spans="1:9" ht="23.25" x14ac:dyDescent="0.35">
      <c r="A4" s="140" t="s">
        <v>128</v>
      </c>
      <c r="B4" s="142">
        <v>1963452700</v>
      </c>
      <c r="C4" s="140">
        <v>2015934700</v>
      </c>
      <c r="D4" s="143">
        <f>C4/B4*100</f>
        <v>102.67294445137385</v>
      </c>
      <c r="E4" s="140">
        <v>2165934700</v>
      </c>
      <c r="F4" s="143">
        <f>E4/C4*100</f>
        <v>107.44071720180222</v>
      </c>
      <c r="G4" s="141">
        <v>2333518200</v>
      </c>
      <c r="H4" s="143">
        <f>G4/E4*100</f>
        <v>107.73723695363483</v>
      </c>
    </row>
    <row r="5" spans="1:9" ht="23.25" x14ac:dyDescent="0.35">
      <c r="A5" s="140" t="s">
        <v>130</v>
      </c>
      <c r="B5" s="140"/>
      <c r="C5" s="140"/>
      <c r="D5" s="143">
        <f>D4/107.1*100</f>
        <v>95.866428059172605</v>
      </c>
      <c r="E5" s="140"/>
      <c r="F5" s="143">
        <f>F4/104*100</f>
        <v>103.30838192480982</v>
      </c>
      <c r="G5" s="141"/>
      <c r="H5" s="143">
        <f>H4/104*100</f>
        <v>103.59349707080273</v>
      </c>
    </row>
    <row r="6" spans="1:9" ht="9" customHeight="1" x14ac:dyDescent="0.45">
      <c r="A6" s="140"/>
      <c r="B6" s="140"/>
      <c r="C6" s="140"/>
      <c r="D6" s="140"/>
      <c r="E6" s="140"/>
      <c r="F6" s="140"/>
      <c r="G6" s="141"/>
      <c r="H6" s="140"/>
    </row>
    <row r="7" spans="1:9" ht="25.9" customHeight="1" x14ac:dyDescent="0.35">
      <c r="A7" s="140" t="s">
        <v>131</v>
      </c>
      <c r="B7" s="140">
        <v>227458760</v>
      </c>
      <c r="C7" s="140">
        <v>275517242</v>
      </c>
      <c r="D7" s="143">
        <f>C7/B7*100</f>
        <v>121.12843752423517</v>
      </c>
      <c r="E7" s="140">
        <v>174955406</v>
      </c>
      <c r="F7" s="143">
        <f>E7/C7*100</f>
        <v>63.500710420148586</v>
      </c>
      <c r="G7" s="141">
        <f>F8*G4/100</f>
        <v>253293110.24786767</v>
      </c>
      <c r="H7" s="140"/>
    </row>
    <row r="8" spans="1:9" ht="23.25" x14ac:dyDescent="0.35">
      <c r="A8" s="140" t="s">
        <v>132</v>
      </c>
      <c r="B8" s="143">
        <f>B7/B4*100</f>
        <v>11.58463150143622</v>
      </c>
      <c r="C8" s="143">
        <f>C7/C4*100</f>
        <v>13.666972546283368</v>
      </c>
      <c r="D8" s="140"/>
      <c r="E8" s="143">
        <f>E7/E4*100</f>
        <v>8.0775937520184709</v>
      </c>
      <c r="F8" s="144">
        <f>(B8*C8*E8)^(1/3)</f>
        <v>10.854559019418303</v>
      </c>
      <c r="G8" s="141"/>
      <c r="H8" s="140"/>
    </row>
    <row r="9" spans="1:9" ht="11.45" customHeight="1" x14ac:dyDescent="0.45">
      <c r="A9" s="140"/>
      <c r="B9" s="140"/>
      <c r="C9" s="140"/>
      <c r="D9" s="140"/>
      <c r="E9" s="140"/>
      <c r="F9" s="140"/>
      <c r="G9" s="141"/>
      <c r="H9" s="140"/>
    </row>
    <row r="10" spans="1:9" ht="25.15" customHeight="1" x14ac:dyDescent="0.35">
      <c r="A10" s="140" t="s">
        <v>133</v>
      </c>
      <c r="B10" s="140">
        <v>21296228</v>
      </c>
      <c r="C10" s="140">
        <v>67639823</v>
      </c>
      <c r="D10" s="140"/>
      <c r="E10" s="140">
        <v>8915329</v>
      </c>
      <c r="F10" s="140"/>
      <c r="G10" s="141">
        <f>F11*G7/100</f>
        <v>26700001.127860814</v>
      </c>
      <c r="H10" s="140"/>
    </row>
    <row r="11" spans="1:9" ht="22.9" customHeight="1" x14ac:dyDescent="0.35">
      <c r="A11" s="140" t="s">
        <v>134</v>
      </c>
      <c r="B11" s="143">
        <f>B10/B7*100</f>
        <v>9.3626765572800981</v>
      </c>
      <c r="C11" s="143">
        <f>C10/C7*100</f>
        <v>24.550123436557918</v>
      </c>
      <c r="D11" s="140"/>
      <c r="E11" s="143">
        <f>E10/E7*100</f>
        <v>5.0957722335256106</v>
      </c>
      <c r="F11" s="144">
        <f>(B11*C11*E11)^(1/3)</f>
        <v>10.541147803717486</v>
      </c>
      <c r="G11" s="141"/>
      <c r="H11" s="140"/>
    </row>
    <row r="12" spans="1:9" ht="23.25" x14ac:dyDescent="0.35">
      <c r="A12" s="140" t="s">
        <v>135</v>
      </c>
      <c r="B12" s="140">
        <f>B7-B10</f>
        <v>206162532</v>
      </c>
      <c r="C12" s="140">
        <f>C7-C10</f>
        <v>207877419</v>
      </c>
      <c r="D12" s="140"/>
      <c r="E12" s="140">
        <f>E7-E10</f>
        <v>166040077</v>
      </c>
      <c r="F12" s="140"/>
      <c r="G12" s="141">
        <f>G7-G10</f>
        <v>226593109.12000686</v>
      </c>
      <c r="H12" s="140">
        <f>G12/E12*100</f>
        <v>136.46892558355466</v>
      </c>
    </row>
    <row r="13" spans="1:9" ht="23.25" x14ac:dyDescent="0.35">
      <c r="A13" s="140" t="s">
        <v>136</v>
      </c>
      <c r="B13" s="140">
        <f>B12*3/100</f>
        <v>6184875.96</v>
      </c>
      <c r="C13" s="140">
        <f>C12*3/100</f>
        <v>6236322.5700000003</v>
      </c>
      <c r="D13" s="140">
        <f>C13/B13*100</f>
        <v>100.83181312499596</v>
      </c>
      <c r="E13" s="140">
        <f>E12*3/100</f>
        <v>4981202.3099999996</v>
      </c>
      <c r="F13" s="140">
        <f>E13/C13*100</f>
        <v>79.874032397910412</v>
      </c>
      <c r="G13" s="141">
        <f>G12*3/100</f>
        <v>6797793.2736002067</v>
      </c>
      <c r="H13" s="140">
        <f>G13/E13*100</f>
        <v>136.46892558355469</v>
      </c>
      <c r="I13" s="30"/>
    </row>
    <row r="14" spans="1:9" ht="23.25" x14ac:dyDescent="0.35">
      <c r="A14" s="140" t="s">
        <v>137</v>
      </c>
      <c r="B14" s="140"/>
      <c r="C14" s="140"/>
      <c r="D14" s="140"/>
      <c r="E14" s="140"/>
      <c r="F14" s="140"/>
      <c r="G14" s="141">
        <f>G13/4</f>
        <v>1699448.3184000517</v>
      </c>
      <c r="H14" s="140"/>
      <c r="I14" s="30"/>
    </row>
    <row r="15" spans="1:9" ht="7.15" customHeight="1" x14ac:dyDescent="0.35">
      <c r="A15" s="140"/>
      <c r="B15" s="140"/>
      <c r="C15" s="140"/>
      <c r="D15" s="140"/>
      <c r="E15" s="140"/>
      <c r="F15" s="140"/>
      <c r="G15" s="141"/>
      <c r="H15" s="140"/>
    </row>
    <row r="16" spans="1:9" ht="27" customHeight="1" x14ac:dyDescent="0.35">
      <c r="A16" s="140" t="s">
        <v>138</v>
      </c>
      <c r="B16" s="140">
        <v>665936</v>
      </c>
      <c r="C16" s="140">
        <v>921922</v>
      </c>
      <c r="D16" s="140"/>
      <c r="E16" s="140">
        <v>1006062</v>
      </c>
      <c r="F16" s="140"/>
      <c r="G16" s="141">
        <f>F17*G7/100</f>
        <v>970988.85245452996</v>
      </c>
      <c r="H16" s="140"/>
    </row>
    <row r="17" spans="1:8" ht="22.9" customHeight="1" x14ac:dyDescent="0.35">
      <c r="A17" s="140" t="s">
        <v>139</v>
      </c>
      <c r="B17" s="145">
        <f>B16/B7*100</f>
        <v>0.29277219307798918</v>
      </c>
      <c r="C17" s="145">
        <f>C16/C7*100</f>
        <v>0.33461499298835173</v>
      </c>
      <c r="D17" s="140"/>
      <c r="E17" s="145">
        <f>E16/E7*100</f>
        <v>0.57503910453615825</v>
      </c>
      <c r="F17" s="146">
        <f>(B17*C17*E17)^(1/3)</f>
        <v>0.38334593921814114</v>
      </c>
      <c r="G17" s="141"/>
      <c r="H17" s="140"/>
    </row>
    <row r="18" spans="1:8" ht="23.25" x14ac:dyDescent="0.35">
      <c r="A18" s="140" t="s">
        <v>140</v>
      </c>
      <c r="B18" s="140">
        <v>44033</v>
      </c>
      <c r="C18" s="140">
        <v>154902</v>
      </c>
      <c r="D18" s="140"/>
      <c r="E18" s="140">
        <v>140676</v>
      </c>
      <c r="F18" s="140"/>
      <c r="G18" s="141">
        <f>F19*G7/100</f>
        <v>112455.89041715635</v>
      </c>
      <c r="H18" s="140"/>
    </row>
    <row r="19" spans="1:8" ht="25.9" customHeight="1" x14ac:dyDescent="0.35">
      <c r="A19" s="140" t="s">
        <v>141</v>
      </c>
      <c r="B19" s="147">
        <f>B18/B7*100</f>
        <v>1.935867407348919E-2</v>
      </c>
      <c r="C19" s="147">
        <f>C18/C7*100</f>
        <v>5.6222252689361631E-2</v>
      </c>
      <c r="D19" s="140"/>
      <c r="E19" s="147">
        <f>E18/E7*100</f>
        <v>8.040677519847543E-2</v>
      </c>
      <c r="F19" s="148">
        <f>(B19*C19*E19)^(1/3)</f>
        <v>4.4397532292571727E-2</v>
      </c>
      <c r="G19" s="141"/>
      <c r="H19" s="140"/>
    </row>
    <row r="20" spans="1:8" ht="66" customHeight="1" x14ac:dyDescent="0.35">
      <c r="A20" s="140" t="s">
        <v>142</v>
      </c>
      <c r="B20" s="140">
        <v>14017</v>
      </c>
      <c r="C20" s="140">
        <v>21883</v>
      </c>
      <c r="D20" s="140"/>
      <c r="E20" s="140">
        <v>48025</v>
      </c>
      <c r="F20" s="140"/>
      <c r="G20" s="141"/>
      <c r="H20" s="140"/>
    </row>
    <row r="21" spans="1:8" ht="24.6" customHeight="1" x14ac:dyDescent="0.35">
      <c r="A21" s="140" t="s">
        <v>143</v>
      </c>
      <c r="B21" s="147">
        <f>B20/B7*100</f>
        <v>6.1624357751708485E-3</v>
      </c>
      <c r="C21" s="147">
        <f>C20/C7*100</f>
        <v>7.9425156266626686E-3</v>
      </c>
      <c r="D21" s="140"/>
      <c r="E21" s="147">
        <f>E20/E7*100</f>
        <v>2.7449851992570041E-2</v>
      </c>
      <c r="F21" s="148">
        <f>(B21*C21*E21)^(1/3)</f>
        <v>1.1034436600359495E-2</v>
      </c>
      <c r="G21" s="141">
        <f>F21*G7/100</f>
        <v>27949.467663379637</v>
      </c>
      <c r="H21" s="140"/>
    </row>
    <row r="22" spans="1:8" ht="23.25" x14ac:dyDescent="0.35">
      <c r="A22" s="140" t="s">
        <v>144</v>
      </c>
      <c r="B22" s="140"/>
      <c r="C22" s="140"/>
      <c r="D22" s="140"/>
      <c r="E22" s="140">
        <f>E20+E18+E16+E13</f>
        <v>6175965.3099999996</v>
      </c>
      <c r="F22" s="140"/>
      <c r="G22" s="141">
        <f>G13+G16+G18+G21</f>
        <v>7909187.4841352729</v>
      </c>
      <c r="H22" s="140"/>
    </row>
    <row r="23" spans="1:8" ht="24" customHeight="1" x14ac:dyDescent="0.35">
      <c r="A23" s="140" t="s">
        <v>145</v>
      </c>
      <c r="B23" s="140"/>
      <c r="C23" s="140"/>
      <c r="D23" s="140"/>
      <c r="E23" s="140"/>
      <c r="F23" s="140"/>
      <c r="G23" s="141">
        <v>4114080</v>
      </c>
      <c r="H23" s="140"/>
    </row>
    <row r="24" spans="1:8" ht="27" customHeight="1" x14ac:dyDescent="0.35">
      <c r="A24" s="140" t="s">
        <v>146</v>
      </c>
      <c r="B24" s="140"/>
      <c r="C24" s="140"/>
      <c r="D24" s="140"/>
      <c r="E24" s="140"/>
      <c r="F24" s="140"/>
      <c r="G24" s="141">
        <f>G22-G23</f>
        <v>3795107.4841352729</v>
      </c>
      <c r="H24" s="140"/>
    </row>
    <row r="25" spans="1:8" ht="23.25" x14ac:dyDescent="0.35">
      <c r="A25" s="140" t="s">
        <v>147</v>
      </c>
      <c r="B25" s="140"/>
      <c r="C25" s="140"/>
      <c r="D25" s="140"/>
      <c r="E25" s="140"/>
      <c r="F25" s="140"/>
      <c r="G25" s="141">
        <f>G24/2</f>
        <v>1897553.7420676365</v>
      </c>
      <c r="H25" s="140"/>
    </row>
    <row r="26" spans="1:8" ht="23.25" x14ac:dyDescent="0.35">
      <c r="A26" s="140" t="s">
        <v>55</v>
      </c>
      <c r="B26" s="140"/>
      <c r="C26" s="140"/>
      <c r="D26" s="140"/>
      <c r="E26" s="140"/>
      <c r="F26" s="140"/>
      <c r="G26" s="144">
        <v>94.3</v>
      </c>
      <c r="H26" s="140"/>
    </row>
    <row r="27" spans="1:8" ht="23.25" x14ac:dyDescent="0.35">
      <c r="A27" s="149"/>
      <c r="B27" s="149"/>
      <c r="C27" s="149"/>
      <c r="D27" s="149"/>
      <c r="E27" s="149"/>
      <c r="F27" s="149"/>
      <c r="G27" s="150">
        <f>G25*G26/100</f>
        <v>1789393.178769781</v>
      </c>
      <c r="H27" s="149"/>
    </row>
    <row r="28" spans="1:8" ht="23.25" x14ac:dyDescent="0.35">
      <c r="A28" s="149" t="s">
        <v>148</v>
      </c>
      <c r="B28" s="149"/>
      <c r="C28" s="149"/>
      <c r="D28" s="149"/>
      <c r="E28" s="149"/>
      <c r="F28" s="149"/>
      <c r="G28" s="151">
        <v>177638</v>
      </c>
      <c r="H28" s="149"/>
    </row>
    <row r="29" spans="1:8" ht="23.25" x14ac:dyDescent="0.35">
      <c r="A29" s="149"/>
      <c r="B29" s="149"/>
      <c r="C29" s="149"/>
      <c r="D29" s="149"/>
      <c r="E29" s="152">
        <v>6929400</v>
      </c>
      <c r="F29" s="149"/>
      <c r="G29" s="156">
        <f>G27-G28</f>
        <v>1611755.178769781</v>
      </c>
      <c r="H29" s="149"/>
    </row>
    <row r="30" spans="1:8" ht="23.25" x14ac:dyDescent="0.35">
      <c r="A30" s="139"/>
      <c r="B30" s="139"/>
      <c r="C30" s="139"/>
      <c r="D30" s="139"/>
      <c r="E30" s="139"/>
      <c r="F30" s="139"/>
      <c r="G30" s="139"/>
      <c r="H30" s="139"/>
    </row>
    <row r="31" spans="1:8" ht="23.25" x14ac:dyDescent="0.35">
      <c r="A31" s="139"/>
      <c r="B31" s="139"/>
      <c r="C31" s="139"/>
      <c r="D31" s="139"/>
      <c r="E31" s="153"/>
      <c r="F31" s="139"/>
      <c r="G31" s="154">
        <v>1936879</v>
      </c>
      <c r="H31" s="139"/>
    </row>
    <row r="32" spans="1:8" ht="23.25" x14ac:dyDescent="0.35">
      <c r="A32" s="139"/>
      <c r="B32" s="139"/>
      <c r="C32" s="139"/>
      <c r="D32" s="139"/>
      <c r="E32" s="139" t="s">
        <v>149</v>
      </c>
      <c r="F32" s="139"/>
      <c r="G32" s="154">
        <v>1876868</v>
      </c>
      <c r="H32" s="139"/>
    </row>
    <row r="33" spans="1:8" ht="23.25" x14ac:dyDescent="0.35">
      <c r="A33" s="139"/>
      <c r="B33" s="139"/>
      <c r="C33" s="139"/>
      <c r="D33" s="139"/>
      <c r="E33" s="139"/>
      <c r="F33" s="139"/>
      <c r="G33" s="155">
        <f>(G29+G31+G32)/3</f>
        <v>1808500.7262565938</v>
      </c>
      <c r="H33" s="139"/>
    </row>
  </sheetData>
  <pageMargins left="0.11811023622047245" right="0.11811023622047245" top="0.35433070866141736" bottom="0.15748031496062992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B1" zoomScaleNormal="100" workbookViewId="0">
      <selection activeCell="G8" sqref="G8"/>
    </sheetView>
  </sheetViews>
  <sheetFormatPr defaultRowHeight="15" x14ac:dyDescent="0.25"/>
  <cols>
    <col min="1" max="1" width="57.7109375" customWidth="1"/>
    <col min="2" max="2" width="22.7109375" customWidth="1"/>
    <col min="3" max="3" width="23.7109375" customWidth="1"/>
    <col min="4" max="4" width="12.85546875" customWidth="1"/>
    <col min="5" max="5" width="21.42578125" customWidth="1"/>
    <col min="6" max="6" width="12.5703125" customWidth="1"/>
    <col min="7" max="7" width="21.7109375" customWidth="1"/>
    <col min="8" max="8" width="9.7109375" customWidth="1"/>
    <col min="9" max="9" width="13.140625" customWidth="1"/>
    <col min="10" max="10" width="11.140625" customWidth="1"/>
    <col min="11" max="11" width="11.5703125" customWidth="1"/>
    <col min="12" max="12" width="13.28515625" customWidth="1"/>
  </cols>
  <sheetData>
    <row r="1" spans="1:13" ht="23.25" x14ac:dyDescent="0.35">
      <c r="A1" s="138" t="s">
        <v>126</v>
      </c>
      <c r="B1" s="138"/>
      <c r="C1" s="138"/>
      <c r="D1" s="138"/>
      <c r="E1" s="138"/>
      <c r="F1" s="138"/>
      <c r="G1" s="139"/>
      <c r="H1" s="139"/>
    </row>
    <row r="2" spans="1:13" ht="23.45" x14ac:dyDescent="0.45">
      <c r="A2" s="139"/>
      <c r="B2" s="139"/>
      <c r="C2" s="139"/>
      <c r="D2" s="139"/>
      <c r="E2" s="139"/>
      <c r="F2" s="139"/>
      <c r="G2" s="139"/>
      <c r="H2" s="139"/>
    </row>
    <row r="3" spans="1:13" ht="23.25" x14ac:dyDescent="0.35">
      <c r="A3" s="140" t="s">
        <v>127</v>
      </c>
      <c r="B3" s="140">
        <v>2015</v>
      </c>
      <c r="C3" s="140">
        <v>2016</v>
      </c>
      <c r="D3" s="140" t="s">
        <v>129</v>
      </c>
      <c r="E3" s="140">
        <v>2017</v>
      </c>
      <c r="F3" s="140" t="s">
        <v>129</v>
      </c>
      <c r="G3" s="141">
        <v>2018</v>
      </c>
      <c r="H3" s="140" t="s">
        <v>129</v>
      </c>
      <c r="I3" s="60"/>
      <c r="J3" s="60"/>
      <c r="K3" s="60"/>
      <c r="L3" s="60"/>
    </row>
    <row r="4" spans="1:13" ht="23.25" x14ac:dyDescent="0.35">
      <c r="A4" s="140" t="s">
        <v>128</v>
      </c>
      <c r="B4" s="142">
        <v>1963452700</v>
      </c>
      <c r="C4" s="140">
        <v>2015934700</v>
      </c>
      <c r="D4" s="143">
        <f>C4/B4*100</f>
        <v>102.67294445137385</v>
      </c>
      <c r="E4" s="140">
        <v>2165934700</v>
      </c>
      <c r="F4" s="143">
        <f>E4/C4*100</f>
        <v>107.44071720180222</v>
      </c>
      <c r="G4" s="141">
        <v>2333518200</v>
      </c>
      <c r="H4" s="143">
        <f>G4/E4*100</f>
        <v>107.73723695363483</v>
      </c>
      <c r="I4" s="60"/>
      <c r="J4" s="60"/>
      <c r="K4" s="60"/>
      <c r="L4" s="60"/>
    </row>
    <row r="5" spans="1:13" ht="23.25" x14ac:dyDescent="0.35">
      <c r="A5" s="140" t="s">
        <v>130</v>
      </c>
      <c r="B5" s="140"/>
      <c r="C5" s="140"/>
      <c r="D5" s="143">
        <f>D4/107.1*100</f>
        <v>95.866428059172605</v>
      </c>
      <c r="E5" s="140"/>
      <c r="F5" s="143">
        <f>F4/104*100</f>
        <v>103.30838192480982</v>
      </c>
      <c r="G5" s="141"/>
      <c r="H5" s="143">
        <f>H4/104*100</f>
        <v>103.59349707080273</v>
      </c>
      <c r="I5" s="60"/>
      <c r="J5" s="60"/>
      <c r="K5" s="60"/>
      <c r="L5" s="60"/>
    </row>
    <row r="6" spans="1:13" ht="23.45" x14ac:dyDescent="0.45">
      <c r="A6" s="140"/>
      <c r="B6" s="140"/>
      <c r="C6" s="140"/>
      <c r="D6" s="140"/>
      <c r="E6" s="140"/>
      <c r="F6" s="140"/>
      <c r="G6" s="141"/>
      <c r="H6" s="140"/>
      <c r="I6" s="60"/>
      <c r="J6" s="60"/>
      <c r="K6" s="60"/>
      <c r="L6" s="60"/>
    </row>
    <row r="7" spans="1:13" ht="23.25" x14ac:dyDescent="0.35">
      <c r="A7" s="140" t="s">
        <v>131</v>
      </c>
      <c r="B7" s="140">
        <v>227458760</v>
      </c>
      <c r="C7" s="140">
        <v>275517242</v>
      </c>
      <c r="D7" s="143">
        <f>C7/B7*100</f>
        <v>121.12843752423517</v>
      </c>
      <c r="E7" s="140">
        <v>174955406</v>
      </c>
      <c r="F7" s="143">
        <f>E7/C7*100</f>
        <v>63.500710420148586</v>
      </c>
      <c r="G7" s="141">
        <f>F8*G4/100</f>
        <v>253293110.24786767</v>
      </c>
      <c r="H7" s="140"/>
      <c r="I7" s="60"/>
      <c r="J7" s="60"/>
      <c r="K7" s="60"/>
      <c r="L7" s="60"/>
    </row>
    <row r="8" spans="1:13" ht="23.25" x14ac:dyDescent="0.35">
      <c r="A8" s="140" t="s">
        <v>132</v>
      </c>
      <c r="B8" s="143">
        <f>B7/B4*100</f>
        <v>11.58463150143622</v>
      </c>
      <c r="C8" s="143">
        <f>C7/C4*100</f>
        <v>13.666972546283368</v>
      </c>
      <c r="D8" s="140"/>
      <c r="E8" s="143">
        <f>E7/E4*100</f>
        <v>8.0775937520184709</v>
      </c>
      <c r="F8" s="144">
        <f>(B8*C8*E8)^(1/3)</f>
        <v>10.854559019418303</v>
      </c>
      <c r="G8" s="141"/>
      <c r="H8" s="140"/>
      <c r="I8" s="60"/>
      <c r="J8" s="60"/>
      <c r="K8" s="60"/>
      <c r="L8" s="60"/>
    </row>
    <row r="9" spans="1:13" ht="23.25" x14ac:dyDescent="0.35">
      <c r="A9" s="140"/>
      <c r="B9" s="140"/>
      <c r="C9" s="140"/>
      <c r="D9" s="140"/>
      <c r="E9" s="140"/>
      <c r="F9" s="140"/>
      <c r="G9" s="141"/>
      <c r="H9" s="140"/>
      <c r="I9" s="60"/>
      <c r="J9" s="60"/>
      <c r="K9" s="60"/>
      <c r="L9" s="60"/>
    </row>
    <row r="10" spans="1:13" ht="46.5" x14ac:dyDescent="0.35">
      <c r="A10" s="140" t="s">
        <v>133</v>
      </c>
      <c r="B10" s="140">
        <v>21296228</v>
      </c>
      <c r="C10" s="140">
        <v>67639823</v>
      </c>
      <c r="D10" s="140"/>
      <c r="E10" s="140">
        <v>8915329</v>
      </c>
      <c r="F10" s="140"/>
      <c r="G10" s="141">
        <f>F11*G7/100</f>
        <v>26700001.127860814</v>
      </c>
      <c r="H10" s="140"/>
      <c r="I10" s="60"/>
      <c r="J10" s="60"/>
      <c r="K10" s="60"/>
      <c r="L10" s="60"/>
    </row>
    <row r="11" spans="1:13" ht="23.25" x14ac:dyDescent="0.35">
      <c r="A11" s="140" t="s">
        <v>134</v>
      </c>
      <c r="B11" s="143">
        <f>B10/B7*100</f>
        <v>9.3626765572800981</v>
      </c>
      <c r="C11" s="143">
        <f>C10/C7*100</f>
        <v>24.550123436557918</v>
      </c>
      <c r="D11" s="140"/>
      <c r="E11" s="143">
        <f>E10/E7*100</f>
        <v>5.0957722335256106</v>
      </c>
      <c r="F11" s="144">
        <f>(B11*C11*E11)^(1/3)</f>
        <v>10.541147803717486</v>
      </c>
      <c r="G11" s="141"/>
      <c r="H11" s="140"/>
      <c r="I11" s="60"/>
      <c r="J11" s="60"/>
      <c r="K11" s="60"/>
      <c r="L11" s="60"/>
    </row>
    <row r="12" spans="1:13" ht="23.25" x14ac:dyDescent="0.35">
      <c r="A12" s="140" t="s">
        <v>135</v>
      </c>
      <c r="B12" s="140">
        <f>B7-B10</f>
        <v>206162532</v>
      </c>
      <c r="C12" s="140">
        <f>C7-C10</f>
        <v>207877419</v>
      </c>
      <c r="D12" s="140"/>
      <c r="E12" s="140">
        <f>E7-E10</f>
        <v>166040077</v>
      </c>
      <c r="F12" s="140"/>
      <c r="G12" s="141">
        <f>G7-G10</f>
        <v>226593109.12000686</v>
      </c>
      <c r="H12" s="140">
        <f>G12/E12*100</f>
        <v>136.46892558355466</v>
      </c>
      <c r="I12" s="71">
        <f>B12</f>
        <v>206162532</v>
      </c>
      <c r="J12" s="71">
        <f>C12</f>
        <v>207877419</v>
      </c>
      <c r="K12" s="71">
        <f>E12</f>
        <v>166040077</v>
      </c>
      <c r="L12" s="71">
        <f>G12</f>
        <v>226593109.12000686</v>
      </c>
    </row>
    <row r="13" spans="1:13" ht="23.25" x14ac:dyDescent="0.35">
      <c r="A13" s="140" t="s">
        <v>136</v>
      </c>
      <c r="B13" s="140">
        <f>B12*3/100</f>
        <v>6184875.96</v>
      </c>
      <c r="C13" s="140">
        <f>C12*3/100</f>
        <v>6236322.5700000003</v>
      </c>
      <c r="D13" s="140">
        <f>C13/B13*100</f>
        <v>100.83181312499596</v>
      </c>
      <c r="E13" s="140">
        <f>E12*3/100</f>
        <v>4981202.3099999996</v>
      </c>
      <c r="F13" s="140">
        <f>E13/C13*100</f>
        <v>79.874032397910412</v>
      </c>
      <c r="G13" s="141">
        <f>G12*3/100</f>
        <v>6797793.2736002067</v>
      </c>
      <c r="H13" s="140">
        <f>G13/E13*100</f>
        <v>136.46892558355469</v>
      </c>
      <c r="I13" s="60">
        <f>I12*17/100</f>
        <v>35047630.439999998</v>
      </c>
      <c r="J13" s="60">
        <f>J12*17/100</f>
        <v>35339161.229999997</v>
      </c>
      <c r="K13" s="60">
        <f>K12*17/100</f>
        <v>28226813.09</v>
      </c>
      <c r="L13" s="60">
        <f>L12*17/100</f>
        <v>38520828.550401166</v>
      </c>
    </row>
    <row r="14" spans="1:13" ht="23.25" x14ac:dyDescent="0.35">
      <c r="A14" s="140" t="s">
        <v>137</v>
      </c>
      <c r="B14" s="140"/>
      <c r="C14" s="140"/>
      <c r="D14" s="140"/>
      <c r="E14" s="140"/>
      <c r="F14" s="140"/>
      <c r="G14" s="141">
        <f>G13/4</f>
        <v>1699448.3184000517</v>
      </c>
      <c r="H14" s="140"/>
      <c r="I14" s="60"/>
      <c r="J14" s="60"/>
      <c r="K14" s="60"/>
      <c r="L14" s="60">
        <f>L13*120/100</f>
        <v>46224994.260481395</v>
      </c>
    </row>
    <row r="15" spans="1:13" ht="23.25" x14ac:dyDescent="0.35">
      <c r="A15" s="140"/>
      <c r="B15" s="140"/>
      <c r="C15" s="140"/>
      <c r="D15" s="140"/>
      <c r="E15" s="140"/>
      <c r="F15" s="140"/>
      <c r="G15" s="141"/>
      <c r="H15" s="140"/>
      <c r="I15" s="60"/>
      <c r="J15" s="60"/>
      <c r="K15" s="60"/>
      <c r="L15" s="60">
        <f>L14*105/100</f>
        <v>48536243.973505467</v>
      </c>
      <c r="M15">
        <f>L15/51905868*100</f>
        <v>93.508202142974412</v>
      </c>
    </row>
    <row r="16" spans="1:13" ht="23.25" x14ac:dyDescent="0.35">
      <c r="A16" s="140" t="s">
        <v>138</v>
      </c>
      <c r="B16" s="140">
        <v>665936</v>
      </c>
      <c r="C16" s="140">
        <v>921922</v>
      </c>
      <c r="D16" s="140"/>
      <c r="E16" s="140">
        <v>1006062</v>
      </c>
      <c r="F16" s="140"/>
      <c r="G16" s="141">
        <f>F17*G7/100</f>
        <v>970988.85245452996</v>
      </c>
      <c r="H16" s="140"/>
      <c r="I16" s="60"/>
      <c r="J16" s="60"/>
      <c r="K16" s="60"/>
      <c r="L16" s="60"/>
      <c r="M16">
        <f>51905868*95.6/100</f>
        <v>49622009.807999991</v>
      </c>
    </row>
    <row r="17" spans="1:12" ht="23.25" x14ac:dyDescent="0.35">
      <c r="A17" s="140" t="s">
        <v>139</v>
      </c>
      <c r="B17" s="145">
        <f>B16/B7*100</f>
        <v>0.29277219307798918</v>
      </c>
      <c r="C17" s="145">
        <f>C16/C7*100</f>
        <v>0.33461499298835173</v>
      </c>
      <c r="D17" s="140"/>
      <c r="E17" s="145">
        <f>E16/E7*100</f>
        <v>0.57503910453615825</v>
      </c>
      <c r="F17" s="146">
        <f>(B17*C17*E17)^(1/3)</f>
        <v>0.38334593921814114</v>
      </c>
      <c r="G17" s="141"/>
      <c r="H17" s="140"/>
      <c r="I17" s="60"/>
      <c r="J17" s="60"/>
      <c r="K17" s="60"/>
      <c r="L17" s="60"/>
    </row>
    <row r="18" spans="1:12" ht="23.25" x14ac:dyDescent="0.35">
      <c r="A18" s="140" t="s">
        <v>140</v>
      </c>
      <c r="B18" s="140">
        <v>44033</v>
      </c>
      <c r="C18" s="140">
        <v>154902</v>
      </c>
      <c r="D18" s="140"/>
      <c r="E18" s="140">
        <v>140676</v>
      </c>
      <c r="F18" s="140"/>
      <c r="G18" s="141">
        <f>F19*G7/100</f>
        <v>112455.89041715635</v>
      </c>
      <c r="H18" s="140"/>
      <c r="I18" s="60"/>
      <c r="J18" s="60"/>
      <c r="K18" s="60"/>
      <c r="L18" s="60"/>
    </row>
    <row r="19" spans="1:12" ht="23.25" x14ac:dyDescent="0.35">
      <c r="A19" s="140" t="s">
        <v>141</v>
      </c>
      <c r="B19" s="147">
        <f>B18/B7*100</f>
        <v>1.935867407348919E-2</v>
      </c>
      <c r="C19" s="147">
        <f>C18/C7*100</f>
        <v>5.6222252689361631E-2</v>
      </c>
      <c r="D19" s="140"/>
      <c r="E19" s="147">
        <f>E18/E7*100</f>
        <v>8.040677519847543E-2</v>
      </c>
      <c r="F19" s="148">
        <f>(B19*C19*E19)^(1/3)</f>
        <v>4.4397532292571727E-2</v>
      </c>
      <c r="G19" s="141"/>
      <c r="H19" s="140"/>
      <c r="I19" s="60"/>
      <c r="J19" s="60"/>
      <c r="K19" s="60"/>
      <c r="L19" s="60"/>
    </row>
    <row r="20" spans="1:12" ht="69.75" x14ac:dyDescent="0.35">
      <c r="A20" s="140" t="s">
        <v>142</v>
      </c>
      <c r="B20" s="140">
        <v>14017</v>
      </c>
      <c r="C20" s="140">
        <v>21883</v>
      </c>
      <c r="D20" s="140"/>
      <c r="E20" s="140">
        <v>48025</v>
      </c>
      <c r="F20" s="140"/>
      <c r="G20" s="141"/>
      <c r="H20" s="140"/>
      <c r="I20" s="60"/>
      <c r="J20" s="60"/>
      <c r="K20" s="60"/>
      <c r="L20" s="60"/>
    </row>
    <row r="21" spans="1:12" ht="23.25" x14ac:dyDescent="0.35">
      <c r="A21" s="140" t="s">
        <v>143</v>
      </c>
      <c r="B21" s="147">
        <f>B20/B7*100</f>
        <v>6.1624357751708485E-3</v>
      </c>
      <c r="C21" s="147">
        <f>C20/C7*100</f>
        <v>7.9425156266626686E-3</v>
      </c>
      <c r="D21" s="140"/>
      <c r="E21" s="147">
        <f>E20/E7*100</f>
        <v>2.7449851992570041E-2</v>
      </c>
      <c r="F21" s="148">
        <f>(B21*C21*E21)^(1/3)</f>
        <v>1.1034436600359495E-2</v>
      </c>
      <c r="G21" s="141">
        <f>F21*G7/100</f>
        <v>27949.467663379637</v>
      </c>
      <c r="H21" s="140"/>
      <c r="I21" s="60"/>
      <c r="J21" s="60"/>
      <c r="K21" s="60"/>
      <c r="L21" s="60"/>
    </row>
    <row r="22" spans="1:12" ht="23.25" x14ac:dyDescent="0.35">
      <c r="A22" s="140" t="s">
        <v>144</v>
      </c>
      <c r="B22" s="140"/>
      <c r="C22" s="140"/>
      <c r="D22" s="140"/>
      <c r="E22" s="140">
        <f>E20+E18+E16+E13</f>
        <v>6175965.3099999996</v>
      </c>
      <c r="F22" s="140"/>
      <c r="G22" s="141">
        <f>G13+G16+G18+G21</f>
        <v>7909187.4841352729</v>
      </c>
      <c r="H22" s="140"/>
      <c r="I22" s="60"/>
      <c r="J22" s="60"/>
      <c r="K22" s="60"/>
      <c r="L22" s="60"/>
    </row>
    <row r="23" spans="1:12" ht="23.25" x14ac:dyDescent="0.35">
      <c r="A23" s="140" t="s">
        <v>145</v>
      </c>
      <c r="B23" s="140"/>
      <c r="C23" s="140"/>
      <c r="D23" s="140"/>
      <c r="E23" s="140"/>
      <c r="F23" s="140"/>
      <c r="G23" s="141">
        <v>4114080</v>
      </c>
      <c r="H23" s="140"/>
      <c r="I23" s="60"/>
      <c r="J23" s="60"/>
      <c r="K23" s="60"/>
      <c r="L23" s="60"/>
    </row>
    <row r="24" spans="1:12" ht="23.25" x14ac:dyDescent="0.35">
      <c r="A24" s="140" t="s">
        <v>146</v>
      </c>
      <c r="B24" s="140"/>
      <c r="C24" s="140"/>
      <c r="D24" s="140"/>
      <c r="E24" s="140"/>
      <c r="F24" s="140"/>
      <c r="G24" s="141">
        <f>G22-G23</f>
        <v>3795107.4841352729</v>
      </c>
      <c r="H24" s="140"/>
      <c r="I24" s="60"/>
      <c r="J24" s="60"/>
      <c r="K24" s="60"/>
      <c r="L24" s="60"/>
    </row>
    <row r="25" spans="1:12" ht="23.25" x14ac:dyDescent="0.35">
      <c r="A25" s="140" t="s">
        <v>147</v>
      </c>
      <c r="B25" s="140"/>
      <c r="C25" s="140"/>
      <c r="D25" s="140"/>
      <c r="E25" s="140"/>
      <c r="F25" s="140"/>
      <c r="G25" s="141">
        <f>G24/2</f>
        <v>1897553.7420676365</v>
      </c>
      <c r="H25" s="140"/>
      <c r="I25" s="60"/>
      <c r="J25" s="60"/>
      <c r="K25" s="60"/>
      <c r="L25" s="60"/>
    </row>
    <row r="26" spans="1:12" ht="23.25" x14ac:dyDescent="0.35">
      <c r="A26" s="140" t="s">
        <v>55</v>
      </c>
      <c r="B26" s="140"/>
      <c r="C26" s="140"/>
      <c r="D26" s="140"/>
      <c r="E26" s="140"/>
      <c r="F26" s="140"/>
      <c r="G26" s="144">
        <v>94.3</v>
      </c>
      <c r="H26" s="140"/>
      <c r="I26" s="60"/>
      <c r="J26" s="60"/>
      <c r="K26" s="60"/>
      <c r="L26" s="60"/>
    </row>
    <row r="27" spans="1:12" ht="23.25" x14ac:dyDescent="0.35">
      <c r="A27" s="149"/>
      <c r="B27" s="149"/>
      <c r="C27" s="149"/>
      <c r="D27" s="149"/>
      <c r="E27" s="149"/>
      <c r="F27" s="149"/>
      <c r="G27" s="150">
        <f>G25*G26/100</f>
        <v>1789393.178769781</v>
      </c>
      <c r="H27" s="149"/>
      <c r="I27" s="60"/>
      <c r="J27" s="60"/>
      <c r="K27" s="60"/>
      <c r="L27" s="60"/>
    </row>
    <row r="28" spans="1:12" ht="23.25" x14ac:dyDescent="0.35">
      <c r="A28" s="149" t="s">
        <v>148</v>
      </c>
      <c r="B28" s="149"/>
      <c r="C28" s="149"/>
      <c r="D28" s="149"/>
      <c r="E28" s="149"/>
      <c r="F28" s="149"/>
      <c r="G28" s="151">
        <v>177638</v>
      </c>
      <c r="H28" s="149"/>
      <c r="I28" s="60"/>
      <c r="J28" s="60"/>
      <c r="K28" s="60"/>
      <c r="L28" s="60"/>
    </row>
    <row r="29" spans="1:12" ht="23.25" x14ac:dyDescent="0.35">
      <c r="A29" s="149"/>
      <c r="B29" s="149"/>
      <c r="C29" s="149"/>
      <c r="D29" s="149"/>
      <c r="E29" s="152">
        <v>6929400</v>
      </c>
      <c r="F29" s="149"/>
      <c r="G29" s="156">
        <f>G27-G28</f>
        <v>1611755.178769781</v>
      </c>
      <c r="H29" s="149"/>
      <c r="I29" s="60"/>
      <c r="J29" s="71"/>
      <c r="K29" s="60"/>
      <c r="L29" s="60"/>
    </row>
    <row r="30" spans="1:12" ht="23.25" x14ac:dyDescent="0.35">
      <c r="A30" s="139"/>
      <c r="B30" s="139"/>
      <c r="C30" s="139"/>
      <c r="D30" s="139"/>
      <c r="E30" s="139"/>
      <c r="F30" s="139"/>
      <c r="G30" s="139"/>
      <c r="H30" s="139"/>
      <c r="J30" s="30"/>
    </row>
    <row r="31" spans="1:12" ht="23.25" x14ac:dyDescent="0.35">
      <c r="A31" s="139"/>
      <c r="B31" s="139"/>
      <c r="C31" s="139"/>
      <c r="D31" s="139"/>
      <c r="E31" s="153"/>
      <c r="F31" s="139"/>
      <c r="G31" s="154">
        <v>1936879</v>
      </c>
      <c r="H31" s="139"/>
    </row>
    <row r="32" spans="1:12" ht="23.25" x14ac:dyDescent="0.35">
      <c r="A32" s="139"/>
      <c r="B32" s="139"/>
      <c r="C32" s="139"/>
      <c r="D32" s="139"/>
      <c r="E32" s="139" t="s">
        <v>149</v>
      </c>
      <c r="F32" s="139"/>
      <c r="G32" s="154">
        <v>1876868</v>
      </c>
      <c r="H32" s="139"/>
    </row>
    <row r="33" spans="1:8" ht="23.25" x14ac:dyDescent="0.35">
      <c r="A33" s="139"/>
      <c r="B33" s="139"/>
      <c r="C33" s="139"/>
      <c r="D33" s="139"/>
      <c r="E33" s="139"/>
      <c r="F33" s="139"/>
      <c r="G33" s="155">
        <f>(G29+G31+G32)/3</f>
        <v>1808500.7262565938</v>
      </c>
      <c r="H33" s="139"/>
    </row>
  </sheetData>
  <pageMargins left="0.11811023622047245" right="0.11811023622047245" top="0.35433070866141736" bottom="0.15748031496062992" header="0.31496062992125984" footer="0.31496062992125984"/>
  <pageSetup paperSize="9" scale="6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36"/>
  <sheetViews>
    <sheetView tabSelected="1" zoomScaleNormal="100" zoomScaleSheetLayoutView="55" workbookViewId="0">
      <pane xSplit="3" ySplit="4" topLeftCell="H5" activePane="bottomRight" state="frozen"/>
      <selection pane="topRight" activeCell="D1" sqref="D1"/>
      <selection pane="bottomLeft" activeCell="A5" sqref="A5"/>
      <selection pane="bottomRight" activeCell="C6" sqref="C6"/>
    </sheetView>
  </sheetViews>
  <sheetFormatPr defaultRowHeight="15" x14ac:dyDescent="0.25"/>
  <cols>
    <col min="1" max="1" width="8.140625" style="257" customWidth="1"/>
    <col min="2" max="2" width="76.5703125" style="202" customWidth="1"/>
    <col min="3" max="3" width="71.5703125" style="202" customWidth="1"/>
    <col min="4" max="4" width="22.140625" style="210" hidden="1" customWidth="1"/>
    <col min="5" max="5" width="22.5703125" style="210" hidden="1" customWidth="1"/>
    <col min="6" max="6" width="22.85546875" style="202" hidden="1" customWidth="1"/>
    <col min="7" max="7" width="46" style="202" hidden="1" customWidth="1"/>
    <col min="8" max="9" width="16.7109375" style="202" customWidth="1"/>
    <col min="10" max="10" width="17" style="202" customWidth="1"/>
    <col min="11" max="11" width="16.5703125" style="202" customWidth="1"/>
    <col min="12" max="12" width="17" style="202" customWidth="1"/>
    <col min="13" max="13" width="16.85546875" style="202" customWidth="1"/>
    <col min="14" max="14" width="17.140625" style="202" customWidth="1"/>
    <col min="15" max="16" width="11.85546875" bestFit="1" customWidth="1"/>
    <col min="17" max="17" width="14.42578125" bestFit="1" customWidth="1"/>
    <col min="18" max="18" width="11.85546875" bestFit="1" customWidth="1"/>
    <col min="19" max="19" width="14.42578125" bestFit="1" customWidth="1"/>
  </cols>
  <sheetData>
    <row r="1" spans="1:14" ht="57" customHeight="1" x14ac:dyDescent="0.25">
      <c r="A1" s="253"/>
      <c r="B1" s="296" t="s">
        <v>355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7"/>
      <c r="N1" s="297"/>
    </row>
    <row r="2" spans="1:14" ht="25.9" customHeight="1" x14ac:dyDescent="0.25">
      <c r="A2" s="253"/>
      <c r="B2" s="293"/>
      <c r="C2" s="293"/>
      <c r="D2" s="293"/>
      <c r="E2" s="293"/>
      <c r="F2" s="293"/>
    </row>
    <row r="3" spans="1:14" ht="18.75" x14ac:dyDescent="0.25">
      <c r="A3" s="253"/>
      <c r="B3" s="200"/>
      <c r="C3" s="200"/>
      <c r="D3" s="203"/>
      <c r="E3" s="203"/>
      <c r="F3" s="200"/>
      <c r="G3" s="200"/>
      <c r="H3" s="200"/>
      <c r="I3" s="200"/>
      <c r="J3" s="200"/>
      <c r="K3" s="200"/>
      <c r="L3" s="200"/>
      <c r="M3" s="200"/>
      <c r="N3" s="262" t="s">
        <v>357</v>
      </c>
    </row>
    <row r="4" spans="1:14" ht="63.75" customHeight="1" x14ac:dyDescent="0.25">
      <c r="A4" s="249" t="s">
        <v>359</v>
      </c>
      <c r="B4" s="249" t="s">
        <v>62</v>
      </c>
      <c r="C4" s="249" t="s">
        <v>358</v>
      </c>
      <c r="D4" s="250" t="s">
        <v>100</v>
      </c>
      <c r="E4" s="251" t="s">
        <v>153</v>
      </c>
      <c r="F4" s="199" t="s">
        <v>224</v>
      </c>
      <c r="G4" s="199" t="s">
        <v>233</v>
      </c>
      <c r="H4" s="252" t="s">
        <v>366</v>
      </c>
      <c r="I4" s="252" t="s">
        <v>362</v>
      </c>
      <c r="J4" s="252" t="s">
        <v>363</v>
      </c>
      <c r="K4" s="252" t="s">
        <v>360</v>
      </c>
      <c r="L4" s="252" t="s">
        <v>361</v>
      </c>
      <c r="M4" s="252" t="s">
        <v>364</v>
      </c>
      <c r="N4" s="252" t="s">
        <v>365</v>
      </c>
    </row>
    <row r="5" spans="1:14" ht="37.5" customHeight="1" x14ac:dyDescent="0.3">
      <c r="A5" s="254">
        <v>1</v>
      </c>
      <c r="B5" s="229" t="s">
        <v>204</v>
      </c>
      <c r="C5" s="229" t="s">
        <v>327</v>
      </c>
      <c r="D5" s="215">
        <v>2234195400</v>
      </c>
      <c r="E5" s="208">
        <v>2344621000</v>
      </c>
      <c r="F5" s="208">
        <v>2569810000</v>
      </c>
      <c r="G5" s="208">
        <v>2616754000</v>
      </c>
      <c r="H5" s="277">
        <v>3200608000</v>
      </c>
      <c r="I5" s="277">
        <v>4304028300</v>
      </c>
      <c r="J5" s="277">
        <v>4873600000</v>
      </c>
      <c r="K5" s="277">
        <v>5446000000</v>
      </c>
      <c r="L5" s="277">
        <v>5933000000</v>
      </c>
      <c r="M5" s="277">
        <v>6408500000</v>
      </c>
      <c r="N5" s="277">
        <v>6916100000</v>
      </c>
    </row>
    <row r="6" spans="1:14" ht="38.25" customHeight="1" x14ac:dyDescent="0.3">
      <c r="A6" s="254">
        <v>2</v>
      </c>
      <c r="B6" s="229" t="s">
        <v>205</v>
      </c>
      <c r="C6" s="229" t="str">
        <f>C5</f>
        <v>Прогноз СЭР Красн.края на 2024г. и на план.период 2025-2027гг.(осн.пок-ли предварит.прогноза на 05.07.2024г)</v>
      </c>
      <c r="D6" s="220">
        <f t="shared" ref="D6:L6" si="0">D7/D5*100</f>
        <v>15.763522742907805</v>
      </c>
      <c r="E6" s="220" t="e">
        <f t="shared" si="0"/>
        <v>#VALUE!</v>
      </c>
      <c r="F6" s="230">
        <f t="shared" si="0"/>
        <v>8.0039769477120881</v>
      </c>
      <c r="G6" s="230">
        <f t="shared" si="0"/>
        <v>9.9247808544479152</v>
      </c>
      <c r="H6" s="278">
        <f t="shared" si="0"/>
        <v>9.9691277407292613</v>
      </c>
      <c r="I6" s="278">
        <f t="shared" si="0"/>
        <v>6.8788557919101043</v>
      </c>
      <c r="J6" s="278">
        <f t="shared" si="0"/>
        <v>7.9333552199606041</v>
      </c>
      <c r="K6" s="278">
        <f t="shared" si="0"/>
        <v>7.6227506426735214</v>
      </c>
      <c r="L6" s="278">
        <f t="shared" si="0"/>
        <v>7.4914882858587566</v>
      </c>
      <c r="M6" s="278">
        <f t="shared" ref="M6:N6" si="1">M7/M5*100</f>
        <v>7.3901849106655222</v>
      </c>
      <c r="N6" s="278">
        <f t="shared" si="1"/>
        <v>7.2931276297335206</v>
      </c>
    </row>
    <row r="7" spans="1:14" ht="39" customHeight="1" x14ac:dyDescent="0.3">
      <c r="A7" s="254">
        <v>3</v>
      </c>
      <c r="B7" s="229" t="s">
        <v>206</v>
      </c>
      <c r="C7" s="229" t="s">
        <v>328</v>
      </c>
      <c r="D7" s="215">
        <v>352187900</v>
      </c>
      <c r="E7" s="215" t="s">
        <v>303</v>
      </c>
      <c r="F7" s="208">
        <v>205687000</v>
      </c>
      <c r="G7" s="208">
        <v>259707100</v>
      </c>
      <c r="H7" s="277">
        <v>319072700</v>
      </c>
      <c r="I7" s="277">
        <v>296067900</v>
      </c>
      <c r="J7" s="277">
        <v>386640000</v>
      </c>
      <c r="K7" s="277">
        <v>415135000</v>
      </c>
      <c r="L7" s="277">
        <v>444470000</v>
      </c>
      <c r="M7" s="277">
        <v>473600000</v>
      </c>
      <c r="N7" s="277">
        <v>504400000</v>
      </c>
    </row>
    <row r="8" spans="1:14" ht="20.25" customHeight="1" x14ac:dyDescent="0.3">
      <c r="A8" s="254">
        <v>4</v>
      </c>
      <c r="B8" s="229" t="s">
        <v>8</v>
      </c>
      <c r="C8" s="231"/>
      <c r="D8" s="220" t="e">
        <f>D7/#REF!*100</f>
        <v>#REF!</v>
      </c>
      <c r="E8" s="220" t="e">
        <f>E7/D7*100</f>
        <v>#VALUE!</v>
      </c>
      <c r="F8" s="230"/>
      <c r="G8" s="230">
        <f>G7/F7*100</f>
        <v>126.26325436221055</v>
      </c>
      <c r="H8" s="278">
        <f t="shared" ref="H8:J8" si="2">H7/G7*100</f>
        <v>122.85867425264847</v>
      </c>
      <c r="I8" s="278">
        <f t="shared" si="2"/>
        <v>92.790107082179077</v>
      </c>
      <c r="J8" s="278">
        <f t="shared" si="2"/>
        <v>130.59166495253285</v>
      </c>
      <c r="K8" s="278">
        <f>K7/J7*100</f>
        <v>107.36990482102213</v>
      </c>
      <c r="L8" s="278">
        <f>L7/K7*100</f>
        <v>107.06637599816926</v>
      </c>
      <c r="M8" s="278">
        <f>M7/L7*100</f>
        <v>106.55387315229375</v>
      </c>
      <c r="N8" s="278">
        <f>N7/M7*100</f>
        <v>106.50337837837837</v>
      </c>
    </row>
    <row r="9" spans="1:14" ht="93.75" customHeight="1" x14ac:dyDescent="0.3">
      <c r="A9" s="254">
        <v>5</v>
      </c>
      <c r="B9" s="261" t="s">
        <v>207</v>
      </c>
      <c r="C9" s="229" t="s">
        <v>156</v>
      </c>
      <c r="D9" s="215">
        <v>309990911</v>
      </c>
      <c r="E9" s="215"/>
      <c r="F9" s="208">
        <f>F10+F12+F14+F16</f>
        <v>149928235</v>
      </c>
      <c r="G9" s="208">
        <f t="shared" ref="G9:L9" si="3">G10+G12+G14+G16</f>
        <v>152075882</v>
      </c>
      <c r="H9" s="277">
        <f t="shared" si="3"/>
        <v>215080579</v>
      </c>
      <c r="I9" s="277">
        <f t="shared" si="3"/>
        <v>278573319</v>
      </c>
      <c r="J9" s="277">
        <f t="shared" si="3"/>
        <v>344114476</v>
      </c>
      <c r="K9" s="277">
        <f t="shared" si="3"/>
        <v>342626810.98300105</v>
      </c>
      <c r="L9" s="277">
        <f t="shared" si="3"/>
        <v>366838109.71759665</v>
      </c>
      <c r="M9" s="277">
        <f t="shared" ref="M9" si="4">M10+M12+M14+M16</f>
        <v>390880214.10276008</v>
      </c>
      <c r="N9" s="277">
        <f>N10+N12+N14+N16</f>
        <v>416300633.43207812</v>
      </c>
    </row>
    <row r="10" spans="1:14" ht="38.25" customHeight="1" x14ac:dyDescent="0.3">
      <c r="A10" s="254"/>
      <c r="B10" s="229" t="s">
        <v>208</v>
      </c>
      <c r="C10" s="229" t="s">
        <v>169</v>
      </c>
      <c r="D10" s="213">
        <v>174382888</v>
      </c>
      <c r="E10" s="215"/>
      <c r="F10" s="208">
        <v>52284064</v>
      </c>
      <c r="G10" s="208">
        <v>60850950</v>
      </c>
      <c r="H10" s="277">
        <v>89717378</v>
      </c>
      <c r="I10" s="277">
        <v>113734747</v>
      </c>
      <c r="J10" s="277">
        <v>155715061</v>
      </c>
      <c r="K10" s="277">
        <f t="shared" ref="K10:L10" si="5">K7*K11/100</f>
        <v>146002475.35805404</v>
      </c>
      <c r="L10" s="277">
        <f t="shared" si="5"/>
        <v>156319559.23348856</v>
      </c>
      <c r="M10" s="277">
        <f t="shared" ref="M10:N10" si="6">M7*M11/100</f>
        <v>166564544.85787609</v>
      </c>
      <c r="N10" s="277">
        <f t="shared" si="6"/>
        <v>177396867.45420757</v>
      </c>
    </row>
    <row r="11" spans="1:14" ht="18.75" customHeight="1" x14ac:dyDescent="0.3">
      <c r="A11" s="254"/>
      <c r="B11" s="229"/>
      <c r="C11" s="229"/>
      <c r="D11" s="214">
        <f t="shared" ref="D11:J11" si="7">D10/D7*100</f>
        <v>49.514162184447564</v>
      </c>
      <c r="E11" s="214" t="e">
        <f t="shared" si="7"/>
        <v>#VALUE!</v>
      </c>
      <c r="F11" s="230">
        <f t="shared" si="7"/>
        <v>25.419236023667029</v>
      </c>
      <c r="G11" s="230">
        <f t="shared" si="7"/>
        <v>23.430607018445009</v>
      </c>
      <c r="H11" s="278">
        <f t="shared" si="7"/>
        <v>28.118161785699623</v>
      </c>
      <c r="I11" s="278">
        <f t="shared" si="7"/>
        <v>38.415088903592725</v>
      </c>
      <c r="J11" s="278">
        <f t="shared" si="7"/>
        <v>40.273913976825988</v>
      </c>
      <c r="K11" s="278">
        <f>(H11*I11*J11)^(1/3)</f>
        <v>35.169878559517755</v>
      </c>
      <c r="L11" s="278">
        <f>K11</f>
        <v>35.169878559517755</v>
      </c>
      <c r="M11" s="278">
        <f>K11</f>
        <v>35.169878559517755</v>
      </c>
      <c r="N11" s="278">
        <f>K11</f>
        <v>35.169878559517755</v>
      </c>
    </row>
    <row r="12" spans="1:14" ht="23.25" customHeight="1" x14ac:dyDescent="0.3">
      <c r="A12" s="254"/>
      <c r="B12" s="229" t="s">
        <v>209</v>
      </c>
      <c r="C12" s="229" t="s">
        <v>170</v>
      </c>
      <c r="D12" s="213">
        <v>34543584</v>
      </c>
      <c r="E12" s="215"/>
      <c r="F12" s="208">
        <v>21205971</v>
      </c>
      <c r="G12" s="208">
        <v>21768623</v>
      </c>
      <c r="H12" s="277">
        <v>24948251</v>
      </c>
      <c r="I12" s="277">
        <v>26854810</v>
      </c>
      <c r="J12" s="277">
        <v>33596760</v>
      </c>
      <c r="K12" s="277">
        <f t="shared" ref="K12:L12" si="8">K7*K13/100</f>
        <v>35327531.686670378</v>
      </c>
      <c r="L12" s="277">
        <f t="shared" si="8"/>
        <v>37823907.906522892</v>
      </c>
      <c r="M12" s="277">
        <f t="shared" ref="M12:N12" si="9">M7*M13/100</f>
        <v>40302838.851956815</v>
      </c>
      <c r="N12" s="277">
        <f t="shared" si="9"/>
        <v>42923884.959727652</v>
      </c>
    </row>
    <row r="13" spans="1:14" ht="19.5" customHeight="1" x14ac:dyDescent="0.3">
      <c r="A13" s="254"/>
      <c r="B13" s="229"/>
      <c r="C13" s="229"/>
      <c r="D13" s="214">
        <f t="shared" ref="D13:J13" si="10">D12/D7*100</f>
        <v>9.8082824537697064</v>
      </c>
      <c r="E13" s="214" t="e">
        <f t="shared" si="10"/>
        <v>#VALUE!</v>
      </c>
      <c r="F13" s="230">
        <f t="shared" si="10"/>
        <v>10.309825608813391</v>
      </c>
      <c r="G13" s="230">
        <f t="shared" si="10"/>
        <v>8.3819899417459123</v>
      </c>
      <c r="H13" s="278">
        <f t="shared" si="10"/>
        <v>7.8189863940098911</v>
      </c>
      <c r="I13" s="278">
        <f t="shared" si="10"/>
        <v>9.0704902490273334</v>
      </c>
      <c r="J13" s="278">
        <f t="shared" si="10"/>
        <v>8.689416511483552</v>
      </c>
      <c r="K13" s="278">
        <f>(H13*I13*J13)^(1/3)</f>
        <v>8.5098899602949345</v>
      </c>
      <c r="L13" s="278">
        <f>K13</f>
        <v>8.5098899602949345</v>
      </c>
      <c r="M13" s="278">
        <f>K13</f>
        <v>8.5098899602949345</v>
      </c>
      <c r="N13" s="278">
        <f>K13</f>
        <v>8.5098899602949345</v>
      </c>
    </row>
    <row r="14" spans="1:14" ht="36.75" customHeight="1" x14ac:dyDescent="0.3">
      <c r="A14" s="254"/>
      <c r="B14" s="229" t="s">
        <v>210</v>
      </c>
      <c r="C14" s="229" t="s">
        <v>171</v>
      </c>
      <c r="D14" s="213">
        <v>5506</v>
      </c>
      <c r="E14" s="215"/>
      <c r="F14" s="208">
        <v>54540</v>
      </c>
      <c r="G14" s="208">
        <v>22542</v>
      </c>
      <c r="H14" s="277">
        <v>70584</v>
      </c>
      <c r="I14" s="277">
        <v>53207</v>
      </c>
      <c r="J14" s="277">
        <v>436921</v>
      </c>
      <c r="K14" s="277">
        <f t="shared" ref="K14:L14" si="11">K7*K15/100</f>
        <v>147577.25179312061</v>
      </c>
      <c r="L14" s="277">
        <f t="shared" si="11"/>
        <v>158005.61529258749</v>
      </c>
      <c r="M14" s="277">
        <f t="shared" ref="M14:N14" si="12">M7*M15/100</f>
        <v>168361.10289236493</v>
      </c>
      <c r="N14" s="277">
        <f t="shared" si="12"/>
        <v>179310.26245546638</v>
      </c>
    </row>
    <row r="15" spans="1:14" s="162" customFormat="1" ht="18.75" customHeight="1" x14ac:dyDescent="0.3">
      <c r="A15" s="255"/>
      <c r="B15" s="231"/>
      <c r="C15" s="231"/>
      <c r="D15" s="216">
        <f t="shared" ref="D15:J15" si="13">D14/D7*100</f>
        <v>1.5633700078849953E-3</v>
      </c>
      <c r="E15" s="216" t="e">
        <f t="shared" si="13"/>
        <v>#VALUE!</v>
      </c>
      <c r="F15" s="232">
        <f t="shared" si="13"/>
        <v>2.6516017055039941E-2</v>
      </c>
      <c r="G15" s="232">
        <f t="shared" si="13"/>
        <v>8.6797781038716309E-3</v>
      </c>
      <c r="H15" s="279">
        <f t="shared" si="13"/>
        <v>2.2121604261348588E-2</v>
      </c>
      <c r="I15" s="279">
        <f t="shared" si="13"/>
        <v>1.7971215386740676E-2</v>
      </c>
      <c r="J15" s="279">
        <f t="shared" si="13"/>
        <v>0.11300460376577695</v>
      </c>
      <c r="K15" s="279">
        <f>(H15*I15*J15)^(1/3)</f>
        <v>3.5549219360718948E-2</v>
      </c>
      <c r="L15" s="279">
        <f>K15</f>
        <v>3.5549219360718948E-2</v>
      </c>
      <c r="M15" s="279">
        <f>K15</f>
        <v>3.5549219360718948E-2</v>
      </c>
      <c r="N15" s="279">
        <f>K15</f>
        <v>3.5549219360718948E-2</v>
      </c>
    </row>
    <row r="16" spans="1:14" ht="38.25" customHeight="1" x14ac:dyDescent="0.3">
      <c r="A16" s="254"/>
      <c r="B16" s="229" t="s">
        <v>203</v>
      </c>
      <c r="C16" s="229" t="s">
        <v>172</v>
      </c>
      <c r="D16" s="213">
        <v>101058933</v>
      </c>
      <c r="E16" s="213"/>
      <c r="F16" s="208">
        <v>76383660</v>
      </c>
      <c r="G16" s="208">
        <v>69433767</v>
      </c>
      <c r="H16" s="277">
        <v>100344366</v>
      </c>
      <c r="I16" s="277">
        <v>137930555</v>
      </c>
      <c r="J16" s="277">
        <v>154365734</v>
      </c>
      <c r="K16" s="277">
        <f t="shared" ref="K16:L16" si="14">K7*K17/100</f>
        <v>161149226.68648353</v>
      </c>
      <c r="L16" s="277">
        <f t="shared" si="14"/>
        <v>172536636.96229258</v>
      </c>
      <c r="M16" s="277">
        <f t="shared" ref="M16:N16" si="15">M7*M17/100</f>
        <v>183844469.29003483</v>
      </c>
      <c r="N16" s="277">
        <f t="shared" si="15"/>
        <v>195800570.75568742</v>
      </c>
    </row>
    <row r="17" spans="1:14" s="162" customFormat="1" ht="18" customHeight="1" x14ac:dyDescent="0.3">
      <c r="A17" s="255"/>
      <c r="B17" s="231"/>
      <c r="C17" s="231"/>
      <c r="D17" s="214">
        <f t="shared" ref="D17:J17" si="16">D16/D7*100</f>
        <v>28.694606770987875</v>
      </c>
      <c r="E17" s="214" t="e">
        <f t="shared" si="16"/>
        <v>#VALUE!</v>
      </c>
      <c r="F17" s="230">
        <f t="shared" si="16"/>
        <v>37.135871494066222</v>
      </c>
      <c r="G17" s="230">
        <f t="shared" si="16"/>
        <v>26.735413471560847</v>
      </c>
      <c r="H17" s="278">
        <f t="shared" si="16"/>
        <v>31.448746947012392</v>
      </c>
      <c r="I17" s="278">
        <f t="shared" si="16"/>
        <v>46.587473684246078</v>
      </c>
      <c r="J17" s="278">
        <f t="shared" si="16"/>
        <v>39.924926029381339</v>
      </c>
      <c r="K17" s="278">
        <f>(H17*I17*J17)^(1/3)</f>
        <v>38.818511252118839</v>
      </c>
      <c r="L17" s="278">
        <f>K17</f>
        <v>38.818511252118839</v>
      </c>
      <c r="M17" s="278">
        <f>K17</f>
        <v>38.818511252118839</v>
      </c>
      <c r="N17" s="278">
        <f>K17</f>
        <v>38.818511252118839</v>
      </c>
    </row>
    <row r="18" spans="1:14" ht="21" customHeight="1" x14ac:dyDescent="0.3">
      <c r="A18" s="254">
        <v>6</v>
      </c>
      <c r="B18" s="229" t="s">
        <v>155</v>
      </c>
      <c r="C18" s="230" t="s">
        <v>158</v>
      </c>
      <c r="D18" s="220">
        <f t="shared" ref="D18:I18" si="17">D9/D7*100</f>
        <v>88.018614779213038</v>
      </c>
      <c r="E18" s="220" t="e">
        <f t="shared" si="17"/>
        <v>#VALUE!</v>
      </c>
      <c r="F18" s="225">
        <f t="shared" si="17"/>
        <v>72.891449143601676</v>
      </c>
      <c r="G18" s="230">
        <f t="shared" si="17"/>
        <v>58.556690209855645</v>
      </c>
      <c r="H18" s="278">
        <f t="shared" si="17"/>
        <v>67.408016730983249</v>
      </c>
      <c r="I18" s="278">
        <f t="shared" si="17"/>
        <v>94.091024052252877</v>
      </c>
      <c r="J18" s="278">
        <f>J9/J7*100</f>
        <v>89.00126112145665</v>
      </c>
      <c r="K18" s="278">
        <f>(H18*I18*J18)^(1/3)</f>
        <v>82.64539032171075</v>
      </c>
      <c r="L18" s="278">
        <f>K18</f>
        <v>82.64539032171075</v>
      </c>
      <c r="M18" s="278">
        <f>K18</f>
        <v>82.64539032171075</v>
      </c>
      <c r="N18" s="278">
        <f>K18</f>
        <v>82.64539032171075</v>
      </c>
    </row>
    <row r="19" spans="1:14" ht="20.25" customHeight="1" x14ac:dyDescent="0.3">
      <c r="A19" s="254">
        <v>7</v>
      </c>
      <c r="B19" s="229" t="s">
        <v>168</v>
      </c>
      <c r="C19" s="208" t="s">
        <v>157</v>
      </c>
      <c r="D19" s="215">
        <v>309990911</v>
      </c>
      <c r="E19" s="215">
        <f t="shared" ref="E19:L19" si="18">E9</f>
        <v>0</v>
      </c>
      <c r="F19" s="208">
        <f t="shared" si="18"/>
        <v>149928235</v>
      </c>
      <c r="G19" s="208">
        <f t="shared" si="18"/>
        <v>152075882</v>
      </c>
      <c r="H19" s="277">
        <f t="shared" si="18"/>
        <v>215080579</v>
      </c>
      <c r="I19" s="277">
        <f t="shared" si="18"/>
        <v>278573319</v>
      </c>
      <c r="J19" s="277">
        <f t="shared" si="18"/>
        <v>344114476</v>
      </c>
      <c r="K19" s="277">
        <f t="shared" si="18"/>
        <v>342626810.98300105</v>
      </c>
      <c r="L19" s="277">
        <f t="shared" si="18"/>
        <v>366838109.71759665</v>
      </c>
      <c r="M19" s="277">
        <f t="shared" ref="M19" si="19">M9</f>
        <v>390880214.10276008</v>
      </c>
      <c r="N19" s="277">
        <f>N9</f>
        <v>416300633.43207812</v>
      </c>
    </row>
    <row r="20" spans="1:14" ht="17.25" customHeight="1" x14ac:dyDescent="0.3">
      <c r="A20" s="254">
        <v>8</v>
      </c>
      <c r="B20" s="229" t="s">
        <v>211</v>
      </c>
      <c r="C20" s="230" t="s">
        <v>159</v>
      </c>
      <c r="D20" s="220">
        <f>D21/D19*100</f>
        <v>16.988919394478632</v>
      </c>
      <c r="E20" s="220">
        <v>17</v>
      </c>
      <c r="F20" s="230">
        <v>17</v>
      </c>
      <c r="G20" s="230">
        <v>17</v>
      </c>
      <c r="H20" s="278">
        <v>17</v>
      </c>
      <c r="I20" s="278">
        <v>17</v>
      </c>
      <c r="J20" s="278">
        <v>17</v>
      </c>
      <c r="K20" s="278">
        <v>17</v>
      </c>
      <c r="L20" s="278">
        <v>17</v>
      </c>
      <c r="M20" s="278">
        <v>17</v>
      </c>
      <c r="N20" s="278">
        <v>17</v>
      </c>
    </row>
    <row r="21" spans="1:14" s="157" customFormat="1" ht="74.25" customHeight="1" x14ac:dyDescent="0.4">
      <c r="A21" s="254">
        <v>9</v>
      </c>
      <c r="B21" s="233" t="s">
        <v>160</v>
      </c>
      <c r="C21" s="228" t="s">
        <v>225</v>
      </c>
      <c r="D21" s="215">
        <v>52664106</v>
      </c>
      <c r="E21" s="215">
        <f t="shared" ref="E21:J21" si="20">E22+E23+E24+E25</f>
        <v>59335999</v>
      </c>
      <c r="F21" s="227">
        <f t="shared" si="20"/>
        <v>25480724</v>
      </c>
      <c r="G21" s="208">
        <f t="shared" si="20"/>
        <v>25846499</v>
      </c>
      <c r="H21" s="277">
        <f t="shared" si="20"/>
        <v>36562904</v>
      </c>
      <c r="I21" s="277">
        <f t="shared" si="20"/>
        <v>47336394</v>
      </c>
      <c r="J21" s="277">
        <f t="shared" si="20"/>
        <v>58465159</v>
      </c>
      <c r="K21" s="280">
        <f t="shared" ref="K21:L21" si="21">K19*K20/100</f>
        <v>58246557.867110178</v>
      </c>
      <c r="L21" s="280">
        <f t="shared" si="21"/>
        <v>62362478.651991434</v>
      </c>
      <c r="M21" s="280">
        <f t="shared" ref="M21:N21" si="22">M19*M20/100</f>
        <v>66449636.397469215</v>
      </c>
      <c r="N21" s="280">
        <f t="shared" si="22"/>
        <v>70771107.683453277</v>
      </c>
    </row>
    <row r="22" spans="1:14" s="157" customFormat="1" ht="36.75" customHeight="1" x14ac:dyDescent="0.4">
      <c r="A22" s="254"/>
      <c r="B22" s="229" t="s">
        <v>212</v>
      </c>
      <c r="C22" s="228" t="s">
        <v>173</v>
      </c>
      <c r="D22" s="213">
        <v>29612091</v>
      </c>
      <c r="E22" s="215">
        <v>31040689</v>
      </c>
      <c r="F22" s="227">
        <v>8881106</v>
      </c>
      <c r="G22" s="208">
        <v>10344169</v>
      </c>
      <c r="H22" s="277">
        <v>15251932</v>
      </c>
      <c r="I22" s="280">
        <v>19313865</v>
      </c>
      <c r="J22" s="280">
        <v>26440116</v>
      </c>
      <c r="K22" s="281"/>
      <c r="L22" s="281"/>
      <c r="M22" s="281"/>
      <c r="N22" s="281"/>
    </row>
    <row r="23" spans="1:14" s="157" customFormat="1" ht="19.5" customHeight="1" x14ac:dyDescent="0.4">
      <c r="A23" s="254"/>
      <c r="B23" s="229" t="s">
        <v>213</v>
      </c>
      <c r="C23" s="228" t="s">
        <v>174</v>
      </c>
      <c r="D23" s="213">
        <v>5872086</v>
      </c>
      <c r="E23" s="215">
        <v>7158595</v>
      </c>
      <c r="F23" s="227">
        <v>3605129</v>
      </c>
      <c r="G23" s="208">
        <v>3694837</v>
      </c>
      <c r="H23" s="277">
        <v>4241045</v>
      </c>
      <c r="I23" s="280">
        <v>4565290</v>
      </c>
      <c r="J23" s="280">
        <v>5708592</v>
      </c>
      <c r="K23" s="281"/>
      <c r="L23" s="281"/>
      <c r="M23" s="281"/>
      <c r="N23" s="281"/>
    </row>
    <row r="24" spans="1:14" s="157" customFormat="1" ht="36.75" customHeight="1" x14ac:dyDescent="0.4">
      <c r="A24" s="254"/>
      <c r="B24" s="229" t="s">
        <v>214</v>
      </c>
      <c r="C24" s="228" t="s">
        <v>175</v>
      </c>
      <c r="D24" s="213">
        <v>936</v>
      </c>
      <c r="E24" s="215">
        <v>102156</v>
      </c>
      <c r="F24" s="227">
        <v>9268</v>
      </c>
      <c r="G24" s="208">
        <v>3753</v>
      </c>
      <c r="H24" s="277">
        <v>11998</v>
      </c>
      <c r="I24" s="280">
        <v>9045</v>
      </c>
      <c r="J24" s="280">
        <v>74276</v>
      </c>
      <c r="K24" s="281"/>
      <c r="L24" s="281"/>
      <c r="M24" s="281"/>
      <c r="N24" s="281"/>
    </row>
    <row r="25" spans="1:14" s="157" customFormat="1" ht="36" customHeight="1" x14ac:dyDescent="0.4">
      <c r="A25" s="254"/>
      <c r="B25" s="229" t="s">
        <v>215</v>
      </c>
      <c r="C25" s="228" t="s">
        <v>176</v>
      </c>
      <c r="D25" s="213">
        <v>17093852</v>
      </c>
      <c r="E25" s="215">
        <v>21034559</v>
      </c>
      <c r="F25" s="227">
        <v>12985221</v>
      </c>
      <c r="G25" s="208">
        <v>11803740</v>
      </c>
      <c r="H25" s="277">
        <v>17057929</v>
      </c>
      <c r="I25" s="280">
        <v>23448194</v>
      </c>
      <c r="J25" s="280">
        <v>26242175</v>
      </c>
      <c r="K25" s="281"/>
      <c r="L25" s="281"/>
      <c r="M25" s="281"/>
      <c r="N25" s="281"/>
    </row>
    <row r="26" spans="1:14" ht="36" customHeight="1" x14ac:dyDescent="0.3">
      <c r="A26" s="254">
        <v>10</v>
      </c>
      <c r="B26" s="229" t="s">
        <v>216</v>
      </c>
      <c r="C26" s="224" t="s">
        <v>162</v>
      </c>
      <c r="D26" s="215">
        <v>85141</v>
      </c>
      <c r="E26" s="215">
        <v>92013</v>
      </c>
      <c r="F26" s="227">
        <f>F27+F28+F29+F30</f>
        <v>0</v>
      </c>
      <c r="G26" s="208">
        <f>G27+G28+G29+G30</f>
        <v>6203</v>
      </c>
      <c r="H26" s="277">
        <f>H27+H28+H29+H30</f>
        <v>663</v>
      </c>
      <c r="I26" s="277">
        <f>I27+I28+I29+I30</f>
        <v>20992</v>
      </c>
      <c r="J26" s="277">
        <f>J27+J28+J29+J30</f>
        <v>30654</v>
      </c>
      <c r="K26" s="280">
        <v>0</v>
      </c>
      <c r="L26" s="280">
        <v>0</v>
      </c>
      <c r="M26" s="280">
        <v>0</v>
      </c>
      <c r="N26" s="280">
        <v>0</v>
      </c>
    </row>
    <row r="27" spans="1:14" ht="36.75" customHeight="1" x14ac:dyDescent="0.3">
      <c r="A27" s="254"/>
      <c r="B27" s="229" t="s">
        <v>177</v>
      </c>
      <c r="C27" s="224" t="s">
        <v>178</v>
      </c>
      <c r="D27" s="215">
        <v>0</v>
      </c>
      <c r="E27" s="215">
        <v>0</v>
      </c>
      <c r="F27" s="227">
        <v>0</v>
      </c>
      <c r="G27" s="208">
        <v>294</v>
      </c>
      <c r="H27" s="280">
        <v>40</v>
      </c>
      <c r="I27" s="280">
        <v>20964</v>
      </c>
      <c r="J27" s="280">
        <v>30654</v>
      </c>
      <c r="K27" s="280"/>
      <c r="L27" s="280"/>
      <c r="M27" s="280"/>
      <c r="N27" s="280"/>
    </row>
    <row r="28" spans="1:14" ht="21.75" customHeight="1" x14ac:dyDescent="0.3">
      <c r="A28" s="254"/>
      <c r="B28" s="229" t="s">
        <v>179</v>
      </c>
      <c r="C28" s="224" t="s">
        <v>180</v>
      </c>
      <c r="D28" s="215">
        <v>0</v>
      </c>
      <c r="E28" s="215">
        <v>0</v>
      </c>
      <c r="F28" s="227">
        <v>0</v>
      </c>
      <c r="G28" s="208">
        <v>5830</v>
      </c>
      <c r="H28" s="280">
        <v>10</v>
      </c>
      <c r="I28" s="280">
        <v>28</v>
      </c>
      <c r="J28" s="280">
        <v>0</v>
      </c>
      <c r="K28" s="280"/>
      <c r="L28" s="280"/>
      <c r="M28" s="280"/>
      <c r="N28" s="280"/>
    </row>
    <row r="29" spans="1:14" ht="39" customHeight="1" x14ac:dyDescent="0.3">
      <c r="A29" s="254"/>
      <c r="B29" s="229" t="s">
        <v>181</v>
      </c>
      <c r="C29" s="224" t="s">
        <v>182</v>
      </c>
      <c r="D29" s="215">
        <v>0</v>
      </c>
      <c r="E29" s="215">
        <v>0</v>
      </c>
      <c r="F29" s="227">
        <v>0</v>
      </c>
      <c r="G29" s="208">
        <v>79</v>
      </c>
      <c r="H29" s="280">
        <v>0</v>
      </c>
      <c r="I29" s="280">
        <v>0</v>
      </c>
      <c r="J29" s="280">
        <v>0</v>
      </c>
      <c r="K29" s="280"/>
      <c r="L29" s="280"/>
      <c r="M29" s="280"/>
      <c r="N29" s="280"/>
    </row>
    <row r="30" spans="1:14" ht="38.25" customHeight="1" x14ac:dyDescent="0.3">
      <c r="A30" s="254"/>
      <c r="B30" s="229" t="s">
        <v>202</v>
      </c>
      <c r="C30" s="224" t="s">
        <v>183</v>
      </c>
      <c r="D30" s="215">
        <v>85141</v>
      </c>
      <c r="E30" s="215">
        <v>92013</v>
      </c>
      <c r="F30" s="227">
        <v>0</v>
      </c>
      <c r="G30" s="208">
        <v>0</v>
      </c>
      <c r="H30" s="280">
        <v>613</v>
      </c>
      <c r="I30" s="280">
        <v>0</v>
      </c>
      <c r="J30" s="280">
        <v>0</v>
      </c>
      <c r="K30" s="280"/>
      <c r="L30" s="280"/>
      <c r="M30" s="280"/>
      <c r="N30" s="280"/>
    </row>
    <row r="31" spans="1:14" ht="75" customHeight="1" x14ac:dyDescent="0.3">
      <c r="A31" s="254">
        <v>11</v>
      </c>
      <c r="B31" s="233" t="s">
        <v>161</v>
      </c>
      <c r="C31" s="228" t="s">
        <v>236</v>
      </c>
      <c r="D31" s="215">
        <f t="shared" ref="D31:I31" si="23">D32+(D37-D38-D39)/D36%</f>
        <v>37988013.318889186</v>
      </c>
      <c r="E31" s="227">
        <f t="shared" si="23"/>
        <v>16609506.440670673</v>
      </c>
      <c r="F31" s="227">
        <f t="shared" si="23"/>
        <v>11182911.027877539</v>
      </c>
      <c r="G31" s="208">
        <f t="shared" si="23"/>
        <v>8472421.2249392476</v>
      </c>
      <c r="H31" s="277">
        <f t="shared" si="23"/>
        <v>16949686.191406175</v>
      </c>
      <c r="I31" s="277">
        <f t="shared" si="23"/>
        <v>64804888.982658193</v>
      </c>
      <c r="J31" s="280"/>
      <c r="K31" s="280"/>
      <c r="L31" s="280"/>
      <c r="M31" s="280"/>
      <c r="N31" s="280"/>
    </row>
    <row r="32" spans="1:14" ht="20.25" customHeight="1" x14ac:dyDescent="0.3">
      <c r="A32" s="254"/>
      <c r="B32" s="233" t="s">
        <v>184</v>
      </c>
      <c r="C32" s="228" t="s">
        <v>237</v>
      </c>
      <c r="D32" s="213">
        <v>35795137</v>
      </c>
      <c r="E32" s="227">
        <v>15749577</v>
      </c>
      <c r="F32" s="227">
        <v>11606011</v>
      </c>
      <c r="G32" s="208">
        <v>8218086</v>
      </c>
      <c r="H32" s="280">
        <v>17073545</v>
      </c>
      <c r="I32" s="280">
        <v>51006630</v>
      </c>
      <c r="J32" s="280"/>
      <c r="K32" s="280"/>
      <c r="L32" s="280"/>
      <c r="M32" s="280"/>
      <c r="N32" s="280"/>
    </row>
    <row r="33" spans="1:14" ht="20.25" customHeight="1" x14ac:dyDescent="0.3">
      <c r="A33" s="254"/>
      <c r="B33" s="233" t="s">
        <v>185</v>
      </c>
      <c r="C33" s="228" t="s">
        <v>238</v>
      </c>
      <c r="D33" s="213">
        <v>6000031</v>
      </c>
      <c r="E33" s="227">
        <v>2677428</v>
      </c>
      <c r="F33" s="227">
        <v>1973022</v>
      </c>
      <c r="G33" s="208">
        <v>1397075</v>
      </c>
      <c r="H33" s="280">
        <v>2902503</v>
      </c>
      <c r="I33" s="280">
        <v>8671127</v>
      </c>
      <c r="J33" s="280"/>
      <c r="K33" s="280"/>
      <c r="L33" s="280"/>
      <c r="M33" s="280"/>
      <c r="N33" s="280"/>
    </row>
    <row r="34" spans="1:14" ht="21" customHeight="1" x14ac:dyDescent="0.3">
      <c r="A34" s="254"/>
      <c r="B34" s="233" t="s">
        <v>344</v>
      </c>
      <c r="C34" s="228" t="s">
        <v>239</v>
      </c>
      <c r="D34" s="213">
        <v>5521905</v>
      </c>
      <c r="E34" s="227">
        <v>2423574</v>
      </c>
      <c r="F34" s="227">
        <v>2039917</v>
      </c>
      <c r="G34" s="208">
        <v>1348868</v>
      </c>
      <c r="H34" s="280">
        <v>2916884</v>
      </c>
      <c r="I34" s="280">
        <v>6185148</v>
      </c>
      <c r="J34" s="280"/>
      <c r="K34" s="280"/>
      <c r="L34" s="280"/>
      <c r="M34" s="280"/>
      <c r="N34" s="280"/>
    </row>
    <row r="35" spans="1:14" ht="19.5" customHeight="1" x14ac:dyDescent="0.3">
      <c r="A35" s="254"/>
      <c r="B35" s="233" t="s">
        <v>234</v>
      </c>
      <c r="C35" s="228" t="s">
        <v>235</v>
      </c>
      <c r="D35" s="213">
        <v>25412</v>
      </c>
      <c r="E35" s="227">
        <v>15653</v>
      </c>
      <c r="F35" s="227">
        <v>5032</v>
      </c>
      <c r="G35" s="208">
        <v>4970</v>
      </c>
      <c r="H35" s="280">
        <v>6674</v>
      </c>
      <c r="I35" s="280">
        <v>15604</v>
      </c>
      <c r="J35" s="280"/>
      <c r="K35" s="280"/>
      <c r="L35" s="280"/>
      <c r="M35" s="280"/>
      <c r="N35" s="280"/>
    </row>
    <row r="36" spans="1:14" ht="20.25" customHeight="1" x14ac:dyDescent="0.3">
      <c r="A36" s="254"/>
      <c r="B36" s="233" t="s">
        <v>186</v>
      </c>
      <c r="C36" s="228" t="s">
        <v>240</v>
      </c>
      <c r="D36" s="234">
        <f t="shared" ref="D36:I36" si="24">D33/D32*100</f>
        <v>16.762140063886331</v>
      </c>
      <c r="E36" s="235">
        <f t="shared" si="24"/>
        <v>16.99999942855608</v>
      </c>
      <c r="F36" s="221">
        <f t="shared" si="24"/>
        <v>17.000001120109225</v>
      </c>
      <c r="G36" s="232">
        <f t="shared" si="24"/>
        <v>17.000004623947717</v>
      </c>
      <c r="H36" s="279">
        <f t="shared" si="24"/>
        <v>17.000002049955061</v>
      </c>
      <c r="I36" s="279">
        <f t="shared" si="24"/>
        <v>16.999999803947055</v>
      </c>
      <c r="J36" s="280"/>
      <c r="K36" s="280"/>
      <c r="L36" s="280"/>
      <c r="M36" s="280"/>
      <c r="N36" s="280"/>
    </row>
    <row r="37" spans="1:14" ht="19.5" customHeight="1" x14ac:dyDescent="0.3">
      <c r="A37" s="254"/>
      <c r="B37" s="233" t="s">
        <v>187</v>
      </c>
      <c r="C37" s="228" t="s">
        <v>241</v>
      </c>
      <c r="D37" s="213">
        <v>707691</v>
      </c>
      <c r="E37" s="227">
        <v>238201</v>
      </c>
      <c r="F37" s="227">
        <v>33509</v>
      </c>
      <c r="G37" s="208">
        <v>102195</v>
      </c>
      <c r="H37" s="280">
        <v>78302</v>
      </c>
      <c r="I37" s="280">
        <v>2478622</v>
      </c>
      <c r="J37" s="280"/>
      <c r="K37" s="280"/>
      <c r="L37" s="280"/>
      <c r="M37" s="280"/>
      <c r="N37" s="280"/>
    </row>
    <row r="38" spans="1:14" ht="19.5" customHeight="1" x14ac:dyDescent="0.3">
      <c r="A38" s="254"/>
      <c r="B38" s="233" t="s">
        <v>188</v>
      </c>
      <c r="C38" s="228" t="s">
        <v>242</v>
      </c>
      <c r="D38" s="213">
        <v>254977</v>
      </c>
      <c r="E38" s="227">
        <v>0</v>
      </c>
      <c r="F38" s="227">
        <v>105436</v>
      </c>
      <c r="G38" s="208">
        <v>58958</v>
      </c>
      <c r="H38" s="280">
        <v>99358</v>
      </c>
      <c r="I38" s="280">
        <v>132918</v>
      </c>
      <c r="J38" s="280"/>
      <c r="K38" s="280"/>
      <c r="L38" s="280"/>
      <c r="M38" s="280"/>
      <c r="N38" s="280"/>
    </row>
    <row r="39" spans="1:14" ht="36" customHeight="1" x14ac:dyDescent="0.3">
      <c r="A39" s="254"/>
      <c r="B39" s="233" t="s">
        <v>189</v>
      </c>
      <c r="C39" s="228" t="s">
        <v>243</v>
      </c>
      <c r="D39" s="213">
        <v>85141</v>
      </c>
      <c r="E39" s="227">
        <v>92013</v>
      </c>
      <c r="F39" s="227">
        <v>0</v>
      </c>
      <c r="G39" s="208">
        <v>0</v>
      </c>
      <c r="H39" s="280">
        <v>0</v>
      </c>
      <c r="I39" s="280">
        <v>0</v>
      </c>
      <c r="J39" s="280"/>
      <c r="K39" s="280"/>
      <c r="L39" s="280"/>
      <c r="M39" s="280"/>
      <c r="N39" s="280"/>
    </row>
    <row r="40" spans="1:14" ht="18.75" customHeight="1" x14ac:dyDescent="0.3">
      <c r="A40" s="254">
        <v>12</v>
      </c>
      <c r="B40" s="233" t="s">
        <v>23</v>
      </c>
      <c r="C40" s="230" t="s">
        <v>190</v>
      </c>
      <c r="D40" s="220">
        <f>D31/D19*100</f>
        <v>12.254557140512157</v>
      </c>
      <c r="E40" s="220"/>
      <c r="F40" s="225">
        <f>F31/F19*100</f>
        <v>7.4588425775021889</v>
      </c>
      <c r="G40" s="230">
        <f>G31/G19*100</f>
        <v>5.5711800671583465</v>
      </c>
      <c r="H40" s="278">
        <f>H31/H19*100</f>
        <v>7.8806214257988287</v>
      </c>
      <c r="I40" s="278">
        <f>I31/I19*100</f>
        <v>23.263135613737003</v>
      </c>
      <c r="J40" s="282">
        <f>(G40*H40*I40)^(1/3)</f>
        <v>10.07067632253527</v>
      </c>
      <c r="K40" s="282">
        <f>J40</f>
        <v>10.07067632253527</v>
      </c>
      <c r="L40" s="282">
        <f>J40</f>
        <v>10.07067632253527</v>
      </c>
      <c r="M40" s="282">
        <f>J40</f>
        <v>10.07067632253527</v>
      </c>
      <c r="N40" s="282">
        <f>K40</f>
        <v>10.07067632253527</v>
      </c>
    </row>
    <row r="41" spans="1:14" ht="38.25" customHeight="1" x14ac:dyDescent="0.3">
      <c r="A41" s="254">
        <v>13</v>
      </c>
      <c r="B41" s="233" t="s">
        <v>164</v>
      </c>
      <c r="C41" s="228" t="s">
        <v>191</v>
      </c>
      <c r="D41" s="215" t="e">
        <f>D33-D37+D38-D35+#REF!-#REF!</f>
        <v>#REF!</v>
      </c>
      <c r="E41" s="215">
        <f>E33-E37+E38-E35+D37-D38</f>
        <v>2876288</v>
      </c>
      <c r="F41" s="227">
        <f>F33-F37+F38-F35+E37-E38</f>
        <v>2278118</v>
      </c>
      <c r="G41" s="208">
        <f>G33-G37+G38-G35+F37-F38</f>
        <v>1276941</v>
      </c>
      <c r="H41" s="277">
        <f>H33-H37+H38-H35+G37-G38</f>
        <v>2960122</v>
      </c>
      <c r="I41" s="277">
        <f>I33-I37+I38-I35+H37-H38</f>
        <v>6288763</v>
      </c>
      <c r="J41" s="280">
        <f t="shared" ref="J41:M41" si="25">J31*J42/100</f>
        <v>0</v>
      </c>
      <c r="K41" s="280">
        <f t="shared" si="25"/>
        <v>0</v>
      </c>
      <c r="L41" s="280">
        <f t="shared" si="25"/>
        <v>0</v>
      </c>
      <c r="M41" s="280">
        <f t="shared" si="25"/>
        <v>0</v>
      </c>
      <c r="N41" s="280">
        <f t="shared" ref="N41" si="26">N31*N42/100</f>
        <v>0</v>
      </c>
    </row>
    <row r="42" spans="1:14" ht="20.25" customHeight="1" x14ac:dyDescent="0.3">
      <c r="A42" s="254">
        <v>14</v>
      </c>
      <c r="B42" s="233" t="s">
        <v>340</v>
      </c>
      <c r="C42" s="230" t="s">
        <v>163</v>
      </c>
      <c r="D42" s="236" t="e">
        <f>D41/D31*100</f>
        <v>#REF!</v>
      </c>
      <c r="E42" s="236">
        <v>17.317119026228326</v>
      </c>
      <c r="F42" s="225">
        <f>F41/F31*100</f>
        <v>20.371422023486989</v>
      </c>
      <c r="G42" s="225">
        <f>G41/G31*100</f>
        <v>15.071736474117012</v>
      </c>
      <c r="H42" s="282">
        <f>H41/H31*100</f>
        <v>17.464169935493203</v>
      </c>
      <c r="I42" s="282">
        <f>I41/I31*100</f>
        <v>9.7041490213537358</v>
      </c>
      <c r="J42" s="282">
        <f>(G42*H42*I42)^(1/3)</f>
        <v>13.66961341349811</v>
      </c>
      <c r="K42" s="282">
        <f>J42</f>
        <v>13.66961341349811</v>
      </c>
      <c r="L42" s="282">
        <f>J42</f>
        <v>13.66961341349811</v>
      </c>
      <c r="M42" s="282">
        <f>J42</f>
        <v>13.66961341349811</v>
      </c>
      <c r="N42" s="282">
        <f>K42</f>
        <v>13.66961341349811</v>
      </c>
    </row>
    <row r="43" spans="1:14" ht="20.25" customHeight="1" x14ac:dyDescent="0.3">
      <c r="A43" s="254">
        <v>15</v>
      </c>
      <c r="B43" s="237" t="s">
        <v>30</v>
      </c>
      <c r="C43" s="228" t="s">
        <v>166</v>
      </c>
      <c r="D43" s="236">
        <v>53.01</v>
      </c>
      <c r="E43" s="221">
        <v>69.97</v>
      </c>
      <c r="F43" s="221">
        <v>63.8</v>
      </c>
      <c r="G43" s="232">
        <v>41.4</v>
      </c>
      <c r="H43" s="283">
        <v>69.099999999999994</v>
      </c>
      <c r="I43" s="283">
        <v>80</v>
      </c>
      <c r="J43" s="283">
        <v>64.5</v>
      </c>
      <c r="K43" s="283">
        <v>65</v>
      </c>
      <c r="L43" s="283">
        <v>65</v>
      </c>
      <c r="M43" s="283">
        <v>65</v>
      </c>
      <c r="N43" s="283">
        <f>M43</f>
        <v>65</v>
      </c>
    </row>
    <row r="44" spans="1:14" ht="19.5" customHeight="1" x14ac:dyDescent="0.3">
      <c r="A44" s="254">
        <v>16</v>
      </c>
      <c r="B44" s="233" t="s">
        <v>31</v>
      </c>
      <c r="C44" s="227" t="s">
        <v>167</v>
      </c>
      <c r="D44" s="236" t="e">
        <f>D43/#REF!</f>
        <v>#REF!</v>
      </c>
      <c r="E44" s="238">
        <f>E43/D43</f>
        <v>1.319939634031315</v>
      </c>
      <c r="F44" s="221">
        <f>F43/E43</f>
        <v>0.91181935115049306</v>
      </c>
      <c r="G44" s="232">
        <f>G43/F43</f>
        <v>0.64890282131661448</v>
      </c>
      <c r="H44" s="283">
        <f t="shared" ref="H44:I44" si="27">H43/G43</f>
        <v>1.6690821256038646</v>
      </c>
      <c r="I44" s="283">
        <f t="shared" si="27"/>
        <v>1.157742402315485</v>
      </c>
      <c r="J44" s="283">
        <f>J43/I43</f>
        <v>0.80625000000000002</v>
      </c>
      <c r="K44" s="283">
        <f>K43/I43</f>
        <v>0.8125</v>
      </c>
      <c r="L44" s="283">
        <f>L43/J43</f>
        <v>1.0077519379844961</v>
      </c>
      <c r="M44" s="283">
        <f>M43/L43</f>
        <v>1</v>
      </c>
      <c r="N44" s="283">
        <f>N43/M43</f>
        <v>1</v>
      </c>
    </row>
    <row r="45" spans="1:14" ht="20.25" customHeight="1" x14ac:dyDescent="0.3">
      <c r="A45" s="254">
        <v>17</v>
      </c>
      <c r="B45" s="233" t="s">
        <v>150</v>
      </c>
      <c r="C45" s="230" t="s">
        <v>192</v>
      </c>
      <c r="D45" s="215"/>
      <c r="E45" s="215">
        <f t="shared" ref="E45" si="28">E31*E44</f>
        <v>21923545.852739617</v>
      </c>
      <c r="F45" s="227">
        <f t="shared" ref="F45:I45" si="29">E31*F44</f>
        <v>15144869.385662269</v>
      </c>
      <c r="G45" s="208">
        <f t="shared" si="29"/>
        <v>7256622.5165224168</v>
      </c>
      <c r="H45" s="280">
        <f t="shared" si="29"/>
        <v>14141166.827132897</v>
      </c>
      <c r="I45" s="280">
        <f t="shared" si="29"/>
        <v>19623370.409732189</v>
      </c>
      <c r="J45" s="280">
        <f>I31*J44*0+500198/0.17</f>
        <v>2942341.176470588</v>
      </c>
      <c r="K45" s="280">
        <f>J31*K44*0</f>
        <v>0</v>
      </c>
      <c r="L45" s="280">
        <f>K31*L44*0</f>
        <v>0</v>
      </c>
      <c r="M45" s="280">
        <f>L31*M44*0</f>
        <v>0</v>
      </c>
      <c r="N45" s="280">
        <f>M31*N44*0</f>
        <v>0</v>
      </c>
    </row>
    <row r="46" spans="1:14" s="157" customFormat="1" ht="21.75" customHeight="1" x14ac:dyDescent="0.4">
      <c r="A46" s="254">
        <v>18</v>
      </c>
      <c r="B46" s="233" t="s">
        <v>151</v>
      </c>
      <c r="C46" s="225" t="s">
        <v>193</v>
      </c>
      <c r="D46" s="215"/>
      <c r="E46" s="215">
        <f t="shared" ref="E46:I46" si="30">E41*E44</f>
        <v>3796526.5300886631</v>
      </c>
      <c r="F46" s="227">
        <f t="shared" si="30"/>
        <v>2077232.076604259</v>
      </c>
      <c r="G46" s="208">
        <f t="shared" si="30"/>
        <v>828610.61755485903</v>
      </c>
      <c r="H46" s="280">
        <f t="shared" si="30"/>
        <v>4940686.7198067633</v>
      </c>
      <c r="I46" s="280">
        <f t="shared" si="30"/>
        <v>7280767.5832127361</v>
      </c>
      <c r="J46" s="280">
        <f>J41*J44*0+500198</f>
        <v>500198</v>
      </c>
      <c r="K46" s="280">
        <f>0</f>
        <v>0</v>
      </c>
      <c r="L46" s="280">
        <f t="shared" ref="L46:M46" si="31">L41*L44*0</f>
        <v>0</v>
      </c>
      <c r="M46" s="280">
        <f t="shared" si="31"/>
        <v>0</v>
      </c>
      <c r="N46" s="280">
        <f t="shared" ref="N46" si="32">N41*N44*0</f>
        <v>0</v>
      </c>
    </row>
    <row r="47" spans="1:14" ht="36.75" customHeight="1" x14ac:dyDescent="0.3">
      <c r="A47" s="254">
        <v>19</v>
      </c>
      <c r="B47" s="229" t="s">
        <v>341</v>
      </c>
      <c r="C47" s="230" t="s">
        <v>201</v>
      </c>
      <c r="D47" s="215">
        <f t="shared" ref="D47:I47" si="33">D21+D46</f>
        <v>52664106</v>
      </c>
      <c r="E47" s="215"/>
      <c r="F47" s="208">
        <f t="shared" si="33"/>
        <v>27557956.076604258</v>
      </c>
      <c r="G47" s="208">
        <f t="shared" si="33"/>
        <v>26675109.617554858</v>
      </c>
      <c r="H47" s="277">
        <f t="shared" si="33"/>
        <v>41503590.719806761</v>
      </c>
      <c r="I47" s="277">
        <f t="shared" si="33"/>
        <v>54617161.583212733</v>
      </c>
      <c r="J47" s="277">
        <f>J21+J46</f>
        <v>58965357</v>
      </c>
      <c r="K47" s="277">
        <f>K21+K46*0</f>
        <v>58246557.867110178</v>
      </c>
      <c r="L47" s="277">
        <f>L21+L46*0</f>
        <v>62362478.651991434</v>
      </c>
      <c r="M47" s="277">
        <f>M21+M46*0</f>
        <v>66449636.397469215</v>
      </c>
      <c r="N47" s="277">
        <f>N21+N46*0</f>
        <v>70771107.683453277</v>
      </c>
    </row>
    <row r="48" spans="1:14" ht="36" customHeight="1" x14ac:dyDescent="0.3">
      <c r="A48" s="254">
        <v>20</v>
      </c>
      <c r="B48" s="233" t="s">
        <v>342</v>
      </c>
      <c r="C48" s="227" t="s">
        <v>165</v>
      </c>
      <c r="D48" s="215"/>
      <c r="E48" s="215">
        <f>2461608*17/20</f>
        <v>2092366.8</v>
      </c>
      <c r="F48" s="223"/>
      <c r="G48" s="213"/>
      <c r="H48" s="284"/>
      <c r="I48" s="284"/>
      <c r="J48" s="284"/>
      <c r="K48" s="284"/>
      <c r="L48" s="284"/>
      <c r="M48" s="284"/>
      <c r="N48" s="284"/>
    </row>
    <row r="49" spans="1:19" ht="18.75" customHeight="1" x14ac:dyDescent="0.3">
      <c r="A49" s="254">
        <v>21</v>
      </c>
      <c r="B49" s="237" t="s">
        <v>343</v>
      </c>
      <c r="C49" s="219"/>
      <c r="D49" s="215"/>
      <c r="E49" s="215"/>
      <c r="F49" s="223"/>
      <c r="G49" s="213"/>
      <c r="H49" s="284"/>
      <c r="I49" s="284"/>
      <c r="J49" s="284"/>
      <c r="K49" s="284"/>
      <c r="L49" s="284"/>
      <c r="M49" s="284"/>
      <c r="N49" s="284"/>
    </row>
    <row r="50" spans="1:19" ht="36.75" customHeight="1" x14ac:dyDescent="0.3">
      <c r="A50" s="254"/>
      <c r="B50" s="233" t="s">
        <v>194</v>
      </c>
      <c r="C50" s="228" t="s">
        <v>246</v>
      </c>
      <c r="D50" s="213">
        <v>50157169</v>
      </c>
      <c r="E50" s="213"/>
      <c r="F50" s="239">
        <v>21596116</v>
      </c>
      <c r="G50" s="239">
        <v>23178498</v>
      </c>
      <c r="H50" s="285">
        <v>36840841</v>
      </c>
      <c r="I50" s="285">
        <v>34306687</v>
      </c>
      <c r="J50" s="285">
        <v>159589359</v>
      </c>
      <c r="K50" s="285"/>
      <c r="L50" s="285"/>
      <c r="M50" s="285"/>
      <c r="N50" s="285"/>
    </row>
    <row r="51" spans="1:19" ht="19.5" customHeight="1" x14ac:dyDescent="0.3">
      <c r="A51" s="254"/>
      <c r="B51" s="233" t="s">
        <v>195</v>
      </c>
      <c r="C51" s="228" t="s">
        <v>247</v>
      </c>
      <c r="D51" s="213">
        <v>48752426</v>
      </c>
      <c r="E51" s="213"/>
      <c r="F51" s="239">
        <v>22354481</v>
      </c>
      <c r="G51" s="240">
        <v>23509755</v>
      </c>
      <c r="H51" s="285">
        <v>36764649</v>
      </c>
      <c r="I51" s="285">
        <v>36112976</v>
      </c>
      <c r="J51" s="285">
        <v>139602701</v>
      </c>
      <c r="K51" s="285"/>
      <c r="L51" s="285"/>
      <c r="M51" s="285"/>
      <c r="N51" s="285"/>
    </row>
    <row r="52" spans="1:19" s="160" customFormat="1" ht="36.75" customHeight="1" x14ac:dyDescent="0.3">
      <c r="A52" s="254"/>
      <c r="B52" s="233" t="s">
        <v>196</v>
      </c>
      <c r="C52" s="228" t="s">
        <v>248</v>
      </c>
      <c r="D52" s="217">
        <v>5655706</v>
      </c>
      <c r="E52" s="213"/>
      <c r="F52" s="239">
        <v>1437946</v>
      </c>
      <c r="G52" s="239">
        <v>1396266</v>
      </c>
      <c r="H52" s="285">
        <v>2954230</v>
      </c>
      <c r="I52" s="285">
        <v>346001</v>
      </c>
      <c r="J52" s="285">
        <v>2705905</v>
      </c>
      <c r="K52" s="285"/>
      <c r="L52" s="285"/>
      <c r="M52" s="285"/>
      <c r="N52" s="285"/>
    </row>
    <row r="53" spans="1:19" s="160" customFormat="1" ht="19.5" customHeight="1" x14ac:dyDescent="0.3">
      <c r="A53" s="254"/>
      <c r="B53" s="233" t="s">
        <v>197</v>
      </c>
      <c r="C53" s="228" t="s">
        <v>249</v>
      </c>
      <c r="D53" s="217">
        <v>3153437</v>
      </c>
      <c r="E53" s="217"/>
      <c r="F53" s="239">
        <v>1535240</v>
      </c>
      <c r="G53" s="240">
        <v>1306835</v>
      </c>
      <c r="H53" s="285">
        <v>2848281</v>
      </c>
      <c r="I53" s="285">
        <v>2755694</v>
      </c>
      <c r="J53" s="285">
        <v>903408</v>
      </c>
      <c r="K53" s="285"/>
      <c r="L53" s="285"/>
      <c r="M53" s="285"/>
      <c r="N53" s="285"/>
    </row>
    <row r="54" spans="1:19" ht="20.25" customHeight="1" x14ac:dyDescent="0.3">
      <c r="A54" s="254">
        <v>22</v>
      </c>
      <c r="B54" s="237" t="s">
        <v>324</v>
      </c>
      <c r="C54" s="228"/>
      <c r="D54" s="222">
        <f t="shared" ref="D54" si="34">(D51+D53)/(D50+D52)*100</f>
        <v>92.999801569082408</v>
      </c>
      <c r="E54" s="222"/>
      <c r="F54" s="241">
        <f>(F51+F53)/(F50+F52)*100</f>
        <v>103.71475513090135</v>
      </c>
      <c r="G54" s="242">
        <f>(G51+G53)/(G50+G52)*100</f>
        <v>100.98404200341456</v>
      </c>
      <c r="H54" s="286">
        <f>(H51+H53)/(H50+H52)*100</f>
        <v>99.542302613306049</v>
      </c>
      <c r="I54" s="286">
        <f>(I51+I53)/(I50+I52)*100</f>
        <v>112.16639240222865</v>
      </c>
      <c r="J54" s="286">
        <f>(J51+J53)/(J50+J52)*100</f>
        <v>86.574374098803034</v>
      </c>
      <c r="K54" s="286">
        <f>(H54*I54*J54)^(1/3)</f>
        <v>98.875023182354653</v>
      </c>
      <c r="L54" s="286">
        <f>K54</f>
        <v>98.875023182354653</v>
      </c>
      <c r="M54" s="286">
        <f>K54</f>
        <v>98.875023182354653</v>
      </c>
      <c r="N54" s="286">
        <f>K54</f>
        <v>98.875023182354653</v>
      </c>
    </row>
    <row r="55" spans="1:19" ht="18.75" customHeight="1" x14ac:dyDescent="0.35">
      <c r="A55" s="254">
        <v>23</v>
      </c>
      <c r="B55" s="237" t="s">
        <v>221</v>
      </c>
      <c r="C55" s="230" t="s">
        <v>198</v>
      </c>
      <c r="D55" s="213"/>
      <c r="E55" s="213"/>
      <c r="F55" s="223">
        <f t="shared" ref="F55:L55" si="35">F47*F54%-F47</f>
        <v>1023710.5873272009</v>
      </c>
      <c r="G55" s="223">
        <f t="shared" si="35"/>
        <v>262494.28309361637</v>
      </c>
      <c r="H55" s="284">
        <f t="shared" si="35"/>
        <v>-189960.85010871291</v>
      </c>
      <c r="I55" s="284">
        <f t="shared" si="35"/>
        <v>6644938.1971729398</v>
      </c>
      <c r="J55" s="284">
        <f t="shared" si="35"/>
        <v>-7916468.2421252578</v>
      </c>
      <c r="K55" s="284">
        <f>K47*K54%-K47</f>
        <v>-655260.27308137715</v>
      </c>
      <c r="L55" s="284">
        <f t="shared" si="35"/>
        <v>-701563.42774393409</v>
      </c>
      <c r="M55" s="284">
        <f t="shared" ref="M55:N55" si="36">M47*M54%-M47</f>
        <v>-747543.00488115847</v>
      </c>
      <c r="N55" s="284">
        <f t="shared" si="36"/>
        <v>-796158.55502967536</v>
      </c>
      <c r="O55" s="176"/>
      <c r="P55" s="176"/>
      <c r="Q55" s="176"/>
      <c r="R55" s="176"/>
      <c r="S55" s="176"/>
    </row>
    <row r="56" spans="1:19" ht="75" customHeight="1" x14ac:dyDescent="0.35">
      <c r="A56" s="254"/>
      <c r="B56" s="233" t="s">
        <v>333</v>
      </c>
      <c r="C56" s="229"/>
      <c r="D56" s="213"/>
      <c r="E56" s="213"/>
      <c r="F56" s="223"/>
      <c r="G56" s="243"/>
      <c r="H56" s="288"/>
      <c r="I56" s="284"/>
      <c r="J56" s="284">
        <v>-6833639</v>
      </c>
      <c r="K56" s="284"/>
      <c r="L56" s="284">
        <f>K56*L8/100</f>
        <v>0</v>
      </c>
      <c r="M56" s="284">
        <f>L56*M8/100</f>
        <v>0</v>
      </c>
      <c r="N56" s="284">
        <f>M56*N8/100</f>
        <v>0</v>
      </c>
      <c r="O56" s="164"/>
      <c r="P56" s="164"/>
      <c r="Q56" s="164"/>
      <c r="R56" s="164"/>
      <c r="S56" s="164"/>
    </row>
    <row r="57" spans="1:19" ht="38.25" customHeight="1" x14ac:dyDescent="0.35">
      <c r="A57" s="254"/>
      <c r="B57" s="233" t="s">
        <v>295</v>
      </c>
      <c r="C57" s="219"/>
      <c r="D57" s="213"/>
      <c r="E57" s="213"/>
      <c r="F57" s="223"/>
      <c r="G57" s="213"/>
      <c r="H57" s="284"/>
      <c r="I57" s="284"/>
      <c r="J57" s="284">
        <v>9956854.5172999986</v>
      </c>
      <c r="K57" s="284"/>
      <c r="L57" s="284">
        <f>K57*L63/100</f>
        <v>0</v>
      </c>
      <c r="M57" s="284"/>
      <c r="N57" s="284"/>
      <c r="O57" s="176"/>
      <c r="P57" s="176"/>
      <c r="Q57" s="176"/>
      <c r="R57" s="176"/>
      <c r="S57" s="176"/>
    </row>
    <row r="58" spans="1:19" s="163" customFormat="1" ht="40.5" customHeight="1" x14ac:dyDescent="0.35">
      <c r="A58" s="254"/>
      <c r="B58" s="233" t="s">
        <v>298</v>
      </c>
      <c r="C58" s="219"/>
      <c r="D58" s="213"/>
      <c r="E58" s="213"/>
      <c r="F58" s="223"/>
      <c r="G58" s="213"/>
      <c r="H58" s="284"/>
      <c r="I58" s="284"/>
      <c r="J58" s="284">
        <v>3054944</v>
      </c>
      <c r="K58" s="284"/>
      <c r="L58" s="284"/>
      <c r="M58" s="284"/>
      <c r="N58" s="284"/>
      <c r="O58" s="176"/>
      <c r="P58" s="176"/>
      <c r="Q58" s="176"/>
      <c r="R58" s="176"/>
      <c r="S58" s="176"/>
    </row>
    <row r="59" spans="1:19" s="163" customFormat="1" ht="38.25" customHeight="1" x14ac:dyDescent="0.35">
      <c r="A59" s="254"/>
      <c r="B59" s="233" t="s">
        <v>334</v>
      </c>
      <c r="C59" s="229" t="s">
        <v>325</v>
      </c>
      <c r="D59" s="213"/>
      <c r="E59" s="213"/>
      <c r="F59" s="223"/>
      <c r="G59" s="213"/>
      <c r="H59" s="284"/>
      <c r="I59" s="284"/>
      <c r="J59" s="284"/>
      <c r="K59" s="284">
        <f>-7402506-5038778</f>
        <v>-12441284</v>
      </c>
      <c r="L59" s="284">
        <f>K59*L8/100</f>
        <v>-13320431.906440072</v>
      </c>
      <c r="M59" s="284">
        <f>L59*M8/100</f>
        <v>-14193436.116925817</v>
      </c>
      <c r="N59" s="284">
        <f>M59*N8/100</f>
        <v>-15116488.972502919</v>
      </c>
      <c r="O59" s="176"/>
      <c r="P59" s="176"/>
      <c r="Q59" s="176"/>
      <c r="R59" s="176"/>
      <c r="S59" s="176"/>
    </row>
    <row r="60" spans="1:19" s="163" customFormat="1" ht="55.5" customHeight="1" x14ac:dyDescent="0.35">
      <c r="A60" s="254"/>
      <c r="B60" s="233" t="s">
        <v>336</v>
      </c>
      <c r="C60" s="229" t="s">
        <v>337</v>
      </c>
      <c r="D60" s="213"/>
      <c r="E60" s="213"/>
      <c r="F60" s="223"/>
      <c r="G60" s="213"/>
      <c r="H60" s="284"/>
      <c r="I60" s="284"/>
      <c r="J60" s="284"/>
      <c r="K60" s="284">
        <v>-1929559</v>
      </c>
      <c r="L60" s="284"/>
      <c r="M60" s="284"/>
      <c r="N60" s="284"/>
      <c r="O60" s="176"/>
      <c r="P60" s="176"/>
      <c r="Q60" s="176"/>
      <c r="R60" s="176"/>
      <c r="S60" s="176"/>
    </row>
    <row r="61" spans="1:19" s="163" customFormat="1" ht="21.75" customHeight="1" x14ac:dyDescent="0.35">
      <c r="A61" s="254"/>
      <c r="B61" s="233" t="s">
        <v>338</v>
      </c>
      <c r="C61" s="229" t="s">
        <v>339</v>
      </c>
      <c r="D61" s="213"/>
      <c r="E61" s="213"/>
      <c r="F61" s="223"/>
      <c r="G61" s="213"/>
      <c r="H61" s="284"/>
      <c r="I61" s="284"/>
      <c r="J61" s="284"/>
      <c r="K61" s="284">
        <v>-352360</v>
      </c>
      <c r="L61" s="284"/>
      <c r="M61" s="284"/>
      <c r="N61" s="284"/>
      <c r="O61" s="176"/>
      <c r="P61" s="176"/>
      <c r="Q61" s="176"/>
      <c r="R61" s="176"/>
      <c r="S61" s="176"/>
    </row>
    <row r="62" spans="1:19" ht="20.25" customHeight="1" x14ac:dyDescent="0.3">
      <c r="A62" s="254">
        <v>24</v>
      </c>
      <c r="B62" s="233" t="s">
        <v>250</v>
      </c>
      <c r="C62" s="219" t="s">
        <v>244</v>
      </c>
      <c r="D62" s="213">
        <f t="shared" ref="D62" si="37">D47*9/100*(-1)</f>
        <v>-4739769.54</v>
      </c>
      <c r="E62" s="213"/>
      <c r="F62" s="223">
        <f>F47*15/100*(-1)</f>
        <v>-4133693.4114906387</v>
      </c>
      <c r="G62" s="243">
        <f>G47*15/100*(-1)</f>
        <v>-4001266.4426332288</v>
      </c>
      <c r="H62" s="284">
        <f>H47*15/100*(-1)</f>
        <v>-6225538.6079710135</v>
      </c>
      <c r="I62" s="284">
        <v>-6519360.4442713717</v>
      </c>
      <c r="J62" s="284"/>
      <c r="K62" s="284"/>
      <c r="L62" s="284"/>
      <c r="M62" s="284"/>
      <c r="N62" s="284"/>
    </row>
    <row r="63" spans="1:19" ht="18" customHeight="1" x14ac:dyDescent="0.3">
      <c r="A63" s="254">
        <v>25</v>
      </c>
      <c r="B63" s="233" t="s">
        <v>152</v>
      </c>
      <c r="C63" s="219" t="s">
        <v>199</v>
      </c>
      <c r="D63" s="244" t="e">
        <f>D5/#REF!*100</f>
        <v>#REF!</v>
      </c>
      <c r="E63" s="244"/>
      <c r="F63" s="245">
        <f>F5/E5*100</f>
        <v>109.60449471364456</v>
      </c>
      <c r="G63" s="244">
        <f>G5/F5*100</f>
        <v>101.82674983753664</v>
      </c>
      <c r="H63" s="287">
        <f t="shared" ref="H63:I63" si="38">H5/G5*100</f>
        <v>122.31214703407352</v>
      </c>
      <c r="I63" s="287">
        <f t="shared" si="38"/>
        <v>134.47533406152832</v>
      </c>
      <c r="J63" s="287">
        <f>J5/I5*100</f>
        <v>113.23345620194922</v>
      </c>
      <c r="K63" s="287">
        <f>K5/J5*100</f>
        <v>111.74491135915956</v>
      </c>
      <c r="L63" s="287">
        <f>L5/K5*100</f>
        <v>108.94234300403967</v>
      </c>
      <c r="M63" s="287">
        <f>M5/L5*100</f>
        <v>108.01449519635935</v>
      </c>
      <c r="N63" s="287">
        <f>N5/M5*100</f>
        <v>107.92073028009675</v>
      </c>
    </row>
    <row r="64" spans="1:19" ht="39.75" customHeight="1" x14ac:dyDescent="0.3">
      <c r="A64" s="254">
        <v>26</v>
      </c>
      <c r="B64" s="229" t="s">
        <v>222</v>
      </c>
      <c r="C64" s="224" t="s">
        <v>200</v>
      </c>
      <c r="D64" s="215" t="e">
        <f>D47+D48+D55+D62+D63</f>
        <v>#REF!</v>
      </c>
      <c r="E64" s="215"/>
      <c r="F64" s="215">
        <f>F47+F48+F55+F62+F63</f>
        <v>24448082.856935535</v>
      </c>
      <c r="G64" s="215">
        <f>G47+G48+G55+G62+G63+G56</f>
        <v>22936439.284765083</v>
      </c>
      <c r="H64" s="280">
        <f>H47+H48+H55+H62+H56</f>
        <v>35088091.261727035</v>
      </c>
      <c r="I64" s="280">
        <f>I47+I48+I55+I62+I56+I57</f>
        <v>54742739.336114302</v>
      </c>
      <c r="J64" s="280">
        <f>J47+J48+J55+J62+J56+J57+J58</f>
        <v>57227048.275174737</v>
      </c>
      <c r="K64" s="280">
        <f>K47+K48+K55+K62+K56+K57+K59+K60+K61</f>
        <v>42868094.594028801</v>
      </c>
      <c r="L64" s="280">
        <f>L47+L48+L55+L62+L56+L57+L59</f>
        <v>48340483.317807429</v>
      </c>
      <c r="M64" s="280">
        <f t="shared" ref="M64:N64" si="39">M47+M48+M55+M62+M56+M57+M59</f>
        <v>51508657.275662243</v>
      </c>
      <c r="N64" s="280">
        <f t="shared" si="39"/>
        <v>54858460.155920684</v>
      </c>
    </row>
    <row r="65" spans="1:14" ht="21" customHeight="1" x14ac:dyDescent="0.3">
      <c r="A65" s="254">
        <v>27</v>
      </c>
      <c r="B65" s="224" t="s">
        <v>154</v>
      </c>
      <c r="C65" s="224" t="s">
        <v>253</v>
      </c>
      <c r="D65" s="215">
        <v>51905863</v>
      </c>
      <c r="E65" s="215">
        <v>7124437</v>
      </c>
      <c r="F65" s="227">
        <f>F53+F51</f>
        <v>23889721</v>
      </c>
      <c r="G65" s="227">
        <f>G53+G51</f>
        <v>24816590</v>
      </c>
      <c r="H65" s="280">
        <f>H53+H51</f>
        <v>39612930</v>
      </c>
      <c r="I65" s="280">
        <f>I53+I51</f>
        <v>38868670</v>
      </c>
      <c r="J65" s="280">
        <v>54370801</v>
      </c>
      <c r="K65" s="280"/>
      <c r="L65" s="280"/>
      <c r="M65" s="280"/>
      <c r="N65" s="280"/>
    </row>
    <row r="66" spans="1:14" ht="21" customHeight="1" x14ac:dyDescent="0.3">
      <c r="A66" s="254"/>
      <c r="B66" s="224" t="s">
        <v>304</v>
      </c>
      <c r="C66" s="208"/>
      <c r="D66" s="215"/>
      <c r="E66" s="215"/>
      <c r="F66" s="227">
        <f>F65-F69</f>
        <v>8277767</v>
      </c>
      <c r="G66" s="227">
        <f t="shared" ref="G66:H66" si="40">G65-G69</f>
        <v>10290502</v>
      </c>
      <c r="H66" s="280">
        <f t="shared" si="40"/>
        <v>16239018</v>
      </c>
      <c r="I66" s="280">
        <f>I65-I69</f>
        <v>15211422</v>
      </c>
      <c r="J66" s="280">
        <f>J119-J69</f>
        <v>21988685.265894733</v>
      </c>
      <c r="K66" s="280">
        <f>K119-K69</f>
        <v>13661082.246883415</v>
      </c>
      <c r="L66" s="280"/>
      <c r="M66" s="280"/>
      <c r="N66" s="280"/>
    </row>
    <row r="67" spans="1:14" ht="19.5" customHeight="1" x14ac:dyDescent="0.3">
      <c r="A67" s="254"/>
      <c r="B67" s="224" t="s">
        <v>217</v>
      </c>
      <c r="C67" s="208" t="s">
        <v>218</v>
      </c>
      <c r="D67" s="220" t="e">
        <f>D65/#REF!*100</f>
        <v>#REF!</v>
      </c>
      <c r="E67" s="220">
        <f>E65/D65*100</f>
        <v>13.725688367805386</v>
      </c>
      <c r="F67" s="225">
        <f>F65/E65*100</f>
        <v>335.32082605264105</v>
      </c>
      <c r="G67" s="230">
        <f>G65/F65*100</f>
        <v>103.87978160146784</v>
      </c>
      <c r="H67" s="282">
        <f>H65/G65*100</f>
        <v>159.62277653779188</v>
      </c>
      <c r="I67" s="282">
        <f>I65/H65*100</f>
        <v>98.1211690223369</v>
      </c>
      <c r="J67" s="282">
        <f>J64/I65*100</f>
        <v>147.23181491719356</v>
      </c>
      <c r="K67" s="282">
        <f>K64/J64*100</f>
        <v>74.908799048832137</v>
      </c>
      <c r="L67" s="282">
        <f>L64/K64*100</f>
        <v>112.76564488252502</v>
      </c>
      <c r="M67" s="282">
        <f>M64/L64*100</f>
        <v>106.55387315229375</v>
      </c>
      <c r="N67" s="282">
        <f>N64/M64*100</f>
        <v>106.50337837837837</v>
      </c>
    </row>
    <row r="68" spans="1:14" ht="21.75" customHeight="1" x14ac:dyDescent="0.3">
      <c r="A68" s="254"/>
      <c r="B68" s="224" t="s">
        <v>219</v>
      </c>
      <c r="C68" s="208" t="s">
        <v>218</v>
      </c>
      <c r="D68" s="220" t="e">
        <f>D65/#REF!*100</f>
        <v>#REF!</v>
      </c>
      <c r="E68" s="220">
        <f>E65/D65*100</f>
        <v>13.725688367805386</v>
      </c>
      <c r="F68" s="225">
        <f>(F65-F56)/E65*100</f>
        <v>335.32082605264105</v>
      </c>
      <c r="G68" s="230">
        <f>(G65-G56)/F65*100</f>
        <v>103.87978160146784</v>
      </c>
      <c r="H68" s="282">
        <f>H65/(G65-G56)*100</f>
        <v>159.62277653779188</v>
      </c>
      <c r="I68" s="282">
        <f>(I65-I56)/H65*100</f>
        <v>98.1211690223369</v>
      </c>
      <c r="J68" s="282">
        <f>J64/(I65-I56)*100</f>
        <v>147.23181491719356</v>
      </c>
      <c r="K68" s="282">
        <f>K64/J64*100</f>
        <v>74.908799048832137</v>
      </c>
      <c r="L68" s="282">
        <f>L64/K64*100</f>
        <v>112.76564488252502</v>
      </c>
      <c r="M68" s="282">
        <f>M64/L64*100</f>
        <v>106.55387315229375</v>
      </c>
      <c r="N68" s="282">
        <f>N64/M64*100</f>
        <v>106.50337837837837</v>
      </c>
    </row>
    <row r="69" spans="1:14" ht="38.25" customHeight="1" x14ac:dyDescent="0.3">
      <c r="A69" s="254">
        <v>28</v>
      </c>
      <c r="B69" s="224" t="s">
        <v>331</v>
      </c>
      <c r="C69" s="224" t="s">
        <v>332</v>
      </c>
      <c r="D69" s="215"/>
      <c r="E69" s="227"/>
      <c r="F69" s="227">
        <v>15611954</v>
      </c>
      <c r="G69" s="227">
        <v>14526088</v>
      </c>
      <c r="H69" s="280">
        <v>23373912</v>
      </c>
      <c r="I69" s="280">
        <v>23657248</v>
      </c>
      <c r="J69" s="280">
        <v>35376563</v>
      </c>
      <c r="K69" s="280">
        <v>29359510</v>
      </c>
      <c r="L69" s="280"/>
      <c r="M69" s="280"/>
      <c r="N69" s="280"/>
    </row>
    <row r="70" spans="1:14" ht="22.5" customHeight="1" x14ac:dyDescent="0.3">
      <c r="A70" s="258" t="s">
        <v>345</v>
      </c>
      <c r="B70" s="224" t="s">
        <v>255</v>
      </c>
      <c r="C70" s="208"/>
      <c r="D70" s="220" t="e">
        <f>D69/#REF!*100</f>
        <v>#REF!</v>
      </c>
      <c r="E70" s="220"/>
      <c r="F70" s="225"/>
      <c r="G70" s="225">
        <f>G69/F69*100</f>
        <v>93.044650272477099</v>
      </c>
      <c r="H70" s="282">
        <f t="shared" ref="H70:K70" si="41">H69/G69*100</f>
        <v>160.90988847100471</v>
      </c>
      <c r="I70" s="282">
        <f t="shared" si="41"/>
        <v>101.21218904221081</v>
      </c>
      <c r="J70" s="282">
        <f t="shared" si="41"/>
        <v>149.53794710187762</v>
      </c>
      <c r="K70" s="282">
        <f t="shared" si="41"/>
        <v>82.991414400545366</v>
      </c>
      <c r="L70" s="282"/>
      <c r="M70" s="282"/>
      <c r="N70" s="282"/>
    </row>
    <row r="71" spans="1:14" ht="18.75" customHeight="1" x14ac:dyDescent="0.3">
      <c r="A71" s="258" t="s">
        <v>346</v>
      </c>
      <c r="B71" s="224" t="s">
        <v>226</v>
      </c>
      <c r="C71" s="208" t="s">
        <v>227</v>
      </c>
      <c r="D71" s="220">
        <f t="shared" ref="D71" si="42">D69/D65*100</f>
        <v>0</v>
      </c>
      <c r="E71" s="220"/>
      <c r="F71" s="225">
        <f>F69/F65*100</f>
        <v>65.350089270611406</v>
      </c>
      <c r="G71" s="225">
        <f>G69/G65*100</f>
        <v>58.533779217853862</v>
      </c>
      <c r="H71" s="282">
        <f>H69/H65*100</f>
        <v>59.005764027048748</v>
      </c>
      <c r="I71" s="282">
        <f>I69/I65*100</f>
        <v>60.864567786857634</v>
      </c>
      <c r="J71" s="282">
        <f>J69/J65*100</f>
        <v>65.065370289468433</v>
      </c>
      <c r="K71" s="282">
        <f>K69/K119*100</f>
        <v>68.245248302286967</v>
      </c>
      <c r="L71" s="282"/>
      <c r="M71" s="282"/>
      <c r="N71" s="282"/>
    </row>
    <row r="72" spans="1:14" ht="45" hidden="1" customHeight="1" x14ac:dyDescent="0.3">
      <c r="A72" s="254"/>
      <c r="B72" s="224"/>
      <c r="C72" s="208"/>
      <c r="D72" s="220"/>
      <c r="E72" s="220"/>
      <c r="F72" s="225" t="s">
        <v>230</v>
      </c>
      <c r="G72" s="225">
        <f>G69/G71*100</f>
        <v>24816590</v>
      </c>
      <c r="H72" s="282">
        <f>G72/G64*100</f>
        <v>108.19722142522687</v>
      </c>
      <c r="I72" s="282">
        <f>G72-G64</f>
        <v>1880150.7152349167</v>
      </c>
      <c r="J72" s="282"/>
      <c r="K72" s="282"/>
      <c r="L72" s="282"/>
      <c r="M72" s="282"/>
      <c r="N72" s="282"/>
    </row>
    <row r="73" spans="1:14" ht="24.95" hidden="1" customHeight="1" x14ac:dyDescent="0.3">
      <c r="A73" s="294" t="s">
        <v>220</v>
      </c>
      <c r="B73" s="294"/>
      <c r="C73" s="208"/>
      <c r="D73" s="215"/>
      <c r="E73" s="215"/>
      <c r="F73" s="227" t="s">
        <v>229</v>
      </c>
      <c r="G73" s="225" t="s">
        <v>228</v>
      </c>
      <c r="H73" s="282">
        <f>G73/G64*100</f>
        <v>248.88506577355898</v>
      </c>
      <c r="I73" s="280">
        <f>G73-G64</f>
        <v>34148932.71523492</v>
      </c>
      <c r="J73" s="280"/>
      <c r="K73" s="280"/>
      <c r="L73" s="280"/>
      <c r="M73" s="280"/>
      <c r="N73" s="280"/>
    </row>
    <row r="74" spans="1:14" ht="2.25" hidden="1" customHeight="1" x14ac:dyDescent="0.3">
      <c r="A74" s="295"/>
      <c r="B74" s="295"/>
      <c r="C74" s="208"/>
      <c r="D74" s="220"/>
      <c r="E74" s="220"/>
      <c r="F74" s="225">
        <f>F65-F69</f>
        <v>8277767</v>
      </c>
      <c r="G74" s="219"/>
      <c r="H74" s="289"/>
      <c r="I74" s="282"/>
      <c r="J74" s="282"/>
      <c r="K74" s="282"/>
      <c r="L74" s="282"/>
      <c r="M74" s="282"/>
      <c r="N74" s="282"/>
    </row>
    <row r="75" spans="1:14" s="163" customFormat="1" ht="37.5" x14ac:dyDescent="0.3">
      <c r="A75" s="259" t="s">
        <v>347</v>
      </c>
      <c r="B75" s="224" t="s">
        <v>296</v>
      </c>
      <c r="C75" s="208"/>
      <c r="D75" s="220"/>
      <c r="E75" s="220"/>
      <c r="F75" s="225">
        <f>F71</f>
        <v>65.350089270611406</v>
      </c>
      <c r="G75" s="225">
        <f t="shared" ref="G75:I75" si="43">G71</f>
        <v>58.533779217853862</v>
      </c>
      <c r="H75" s="282">
        <f t="shared" si="43"/>
        <v>59.005764027048748</v>
      </c>
      <c r="I75" s="282">
        <f t="shared" si="43"/>
        <v>60.864567786857634</v>
      </c>
      <c r="J75" s="282">
        <f>J69/(J64-J56)*100</f>
        <v>55.223514615194247</v>
      </c>
      <c r="K75" s="282"/>
      <c r="L75" s="282"/>
      <c r="M75" s="282"/>
      <c r="N75" s="282"/>
    </row>
    <row r="76" spans="1:14" s="163" customFormat="1" ht="37.5" x14ac:dyDescent="0.3">
      <c r="A76" s="259" t="s">
        <v>348</v>
      </c>
      <c r="B76" s="224" t="s">
        <v>297</v>
      </c>
      <c r="C76" s="208"/>
      <c r="D76" s="220"/>
      <c r="E76" s="220"/>
      <c r="F76" s="225"/>
      <c r="G76" s="225"/>
      <c r="H76" s="282"/>
      <c r="I76" s="282"/>
      <c r="J76" s="282">
        <f>(F75*G75*H75*I75)^(1/4)</f>
        <v>60.880461048752949</v>
      </c>
      <c r="K76" s="282"/>
      <c r="L76" s="282"/>
      <c r="M76" s="282"/>
      <c r="N76" s="282"/>
    </row>
    <row r="77" spans="1:14" s="163" customFormat="1" ht="18.75" x14ac:dyDescent="0.3">
      <c r="A77" s="248">
        <v>29</v>
      </c>
      <c r="B77" s="219" t="s">
        <v>257</v>
      </c>
      <c r="C77" s="208"/>
      <c r="D77" s="220"/>
      <c r="E77" s="220"/>
      <c r="F77" s="225"/>
      <c r="G77" s="219"/>
      <c r="H77" s="289"/>
      <c r="I77" s="282"/>
      <c r="J77" s="282"/>
      <c r="K77" s="282"/>
      <c r="L77" s="282"/>
      <c r="M77" s="282"/>
      <c r="N77" s="282"/>
    </row>
    <row r="78" spans="1:14" s="163" customFormat="1" ht="18.75" x14ac:dyDescent="0.3">
      <c r="A78" s="259" t="s">
        <v>349</v>
      </c>
      <c r="B78" s="226" t="s">
        <v>323</v>
      </c>
      <c r="C78" s="218" t="s">
        <v>259</v>
      </c>
      <c r="D78" s="220"/>
      <c r="E78" s="220"/>
      <c r="F78" s="225"/>
      <c r="G78" s="219"/>
      <c r="H78" s="289"/>
      <c r="I78" s="282"/>
      <c r="J78" s="280">
        <f>'1821010113001'!D11</f>
        <v>39084</v>
      </c>
      <c r="K78" s="280">
        <f>'1821010113001'!E11</f>
        <v>65241.821818181823</v>
      </c>
      <c r="L78" s="280">
        <f>'1821010113001'!F11</f>
        <v>97862.732727272742</v>
      </c>
      <c r="M78" s="280">
        <f>'1821010113001'!G11</f>
        <v>163104.55454545456</v>
      </c>
      <c r="N78" s="280">
        <f>'1821010113001'!H11</f>
        <v>163104.55454545456</v>
      </c>
    </row>
    <row r="79" spans="1:14" s="163" customFormat="1" ht="215.25" customHeight="1" x14ac:dyDescent="0.3">
      <c r="A79" s="259" t="s">
        <v>350</v>
      </c>
      <c r="B79" s="246" t="s">
        <v>258</v>
      </c>
      <c r="C79" s="247" t="s">
        <v>330</v>
      </c>
      <c r="D79" s="220"/>
      <c r="E79" s="220"/>
      <c r="F79" s="225"/>
      <c r="G79" s="219"/>
      <c r="H79" s="289"/>
      <c r="I79" s="282"/>
      <c r="J79" s="280">
        <f>J80*1.376/100</f>
        <v>99115.990719999987</v>
      </c>
      <c r="K79" s="280">
        <f>K80*1.376/100</f>
        <v>87255.831036431002</v>
      </c>
      <c r="L79" s="280">
        <f t="shared" ref="L79:N79" si="44">L80*1.376/100</f>
        <v>67605.18724288985</v>
      </c>
      <c r="M79" s="280">
        <f t="shared" si="44"/>
        <v>0</v>
      </c>
      <c r="N79" s="280">
        <f t="shared" si="44"/>
        <v>0</v>
      </c>
    </row>
    <row r="80" spans="1:14" s="163" customFormat="1" ht="36" customHeight="1" x14ac:dyDescent="0.3">
      <c r="A80" s="259" t="s">
        <v>351</v>
      </c>
      <c r="B80" s="219" t="s">
        <v>256</v>
      </c>
      <c r="C80" s="224" t="s">
        <v>329</v>
      </c>
      <c r="D80" s="220"/>
      <c r="E80" s="220"/>
      <c r="F80" s="225"/>
      <c r="G80" s="219"/>
      <c r="H80" s="289"/>
      <c r="I80" s="282"/>
      <c r="J80" s="280">
        <v>7203197</v>
      </c>
      <c r="K80" s="280">
        <v>6341266.7904383</v>
      </c>
      <c r="L80" s="280">
        <v>4913167.6775356</v>
      </c>
      <c r="M80" s="280">
        <v>0</v>
      </c>
      <c r="N80" s="280">
        <v>0</v>
      </c>
    </row>
    <row r="81" spans="1:14" s="163" customFormat="1" ht="40.5" x14ac:dyDescent="0.3">
      <c r="A81" s="248">
        <v>30</v>
      </c>
      <c r="B81" s="260" t="s">
        <v>352</v>
      </c>
      <c r="C81" s="205"/>
      <c r="D81" s="204"/>
      <c r="E81" s="204"/>
      <c r="F81" s="206"/>
      <c r="G81" s="207"/>
      <c r="H81" s="290">
        <v>1754405</v>
      </c>
      <c r="I81" s="282">
        <v>2737137</v>
      </c>
      <c r="J81" s="280">
        <v>2999552</v>
      </c>
      <c r="K81" s="280">
        <v>2295902</v>
      </c>
      <c r="L81" s="280">
        <v>2582492</v>
      </c>
      <c r="M81" s="280">
        <v>2738537</v>
      </c>
      <c r="N81" s="280">
        <v>2906028</v>
      </c>
    </row>
    <row r="82" spans="1:14" s="163" customFormat="1" x14ac:dyDescent="0.25">
      <c r="A82" s="257"/>
      <c r="B82" s="202"/>
      <c r="C82" s="202"/>
      <c r="D82" s="210"/>
      <c r="E82" s="210"/>
      <c r="F82" s="202"/>
      <c r="G82" s="202"/>
      <c r="H82" s="202"/>
      <c r="I82" s="202"/>
      <c r="J82" s="202"/>
      <c r="K82" s="202"/>
      <c r="L82" s="202"/>
      <c r="M82" s="202"/>
      <c r="N82" s="202"/>
    </row>
    <row r="83" spans="1:14" s="163" customFormat="1" x14ac:dyDescent="0.25">
      <c r="A83" s="257"/>
      <c r="B83" s="202"/>
      <c r="C83" s="202"/>
      <c r="D83" s="210"/>
      <c r="E83" s="210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s="163" customFormat="1" ht="20.25" x14ac:dyDescent="0.25">
      <c r="A84" s="257"/>
      <c r="B84" s="275" t="s">
        <v>353</v>
      </c>
      <c r="C84" s="276"/>
      <c r="D84" s="210"/>
      <c r="E84" s="210"/>
      <c r="F84" s="202"/>
      <c r="G84" s="202"/>
      <c r="H84" s="202"/>
      <c r="I84" s="202"/>
      <c r="J84" s="202"/>
      <c r="K84" s="202"/>
      <c r="L84" s="202"/>
      <c r="M84" s="202"/>
      <c r="N84" s="202"/>
    </row>
    <row r="85" spans="1:14" s="163" customFormat="1" x14ac:dyDescent="0.25">
      <c r="A85" s="257"/>
      <c r="B85" s="202"/>
      <c r="C85" s="202"/>
      <c r="D85" s="210"/>
      <c r="E85" s="210"/>
      <c r="F85" s="202"/>
      <c r="G85" s="202"/>
      <c r="H85" s="202"/>
      <c r="I85" s="202"/>
      <c r="J85" s="202"/>
      <c r="K85" s="202"/>
      <c r="L85" s="202"/>
      <c r="M85" s="202"/>
      <c r="N85" s="202"/>
    </row>
    <row r="86" spans="1:14" s="163" customFormat="1" x14ac:dyDescent="0.25">
      <c r="A86" s="257"/>
      <c r="B86" s="202"/>
      <c r="C86" s="202"/>
      <c r="D86" s="210"/>
      <c r="E86" s="210"/>
      <c r="F86" s="202"/>
      <c r="G86" s="202"/>
      <c r="H86" s="202"/>
      <c r="I86" s="202"/>
      <c r="J86" s="202"/>
      <c r="K86" s="202"/>
      <c r="L86" s="202"/>
      <c r="M86" s="202"/>
      <c r="N86" s="202"/>
    </row>
    <row r="87" spans="1:14" s="163" customFormat="1" ht="26.25" x14ac:dyDescent="0.25">
      <c r="A87" s="257"/>
      <c r="B87" s="291" t="s">
        <v>354</v>
      </c>
      <c r="C87" s="292"/>
      <c r="D87" s="292"/>
      <c r="E87" s="292"/>
      <c r="F87" s="292"/>
      <c r="G87" s="292"/>
      <c r="H87" s="292"/>
      <c r="I87" s="292"/>
      <c r="J87" s="292"/>
      <c r="K87" s="292"/>
      <c r="L87" s="202"/>
      <c r="M87" s="298" t="s">
        <v>356</v>
      </c>
      <c r="N87" s="298"/>
    </row>
    <row r="88" spans="1:14" s="163" customFormat="1" x14ac:dyDescent="0.25">
      <c r="A88" s="257"/>
      <c r="B88" s="202"/>
      <c r="C88" s="202"/>
      <c r="D88" s="210"/>
      <c r="E88" s="210"/>
      <c r="F88" s="202"/>
      <c r="G88" s="202"/>
      <c r="H88" s="202"/>
      <c r="I88" s="202"/>
      <c r="J88" s="202"/>
      <c r="K88" s="202"/>
      <c r="L88" s="202"/>
      <c r="M88" s="202"/>
      <c r="N88" s="202"/>
    </row>
    <row r="89" spans="1:14" s="163" customFormat="1" x14ac:dyDescent="0.25">
      <c r="A89" s="257"/>
      <c r="B89" s="202"/>
      <c r="C89" s="202"/>
      <c r="D89" s="210"/>
      <c r="E89" s="210"/>
      <c r="F89" s="202"/>
      <c r="G89" s="202"/>
      <c r="H89" s="202"/>
      <c r="I89" s="202"/>
      <c r="J89" s="202"/>
      <c r="K89" s="202"/>
      <c r="L89" s="202"/>
      <c r="M89" s="202"/>
      <c r="N89" s="202"/>
    </row>
    <row r="90" spans="1:14" s="163" customFormat="1" x14ac:dyDescent="0.25">
      <c r="A90" s="257"/>
      <c r="B90" s="202"/>
      <c r="C90" s="202"/>
      <c r="D90" s="210"/>
      <c r="E90" s="210"/>
      <c r="F90" s="202"/>
      <c r="G90" s="202"/>
      <c r="H90" s="202"/>
      <c r="I90" s="202"/>
      <c r="J90" s="202"/>
      <c r="K90" s="202"/>
      <c r="L90" s="202"/>
      <c r="M90" s="202"/>
      <c r="N90" s="202"/>
    </row>
    <row r="91" spans="1:14" s="163" customFormat="1" x14ac:dyDescent="0.25">
      <c r="A91" s="257"/>
      <c r="B91" s="202"/>
      <c r="C91" s="202"/>
      <c r="D91" s="210"/>
      <c r="E91" s="210"/>
      <c r="F91" s="202"/>
      <c r="G91" s="202"/>
      <c r="H91" s="202"/>
      <c r="I91" s="202"/>
      <c r="J91" s="202"/>
      <c r="K91" s="202"/>
      <c r="L91" s="202"/>
      <c r="M91" s="202"/>
      <c r="N91" s="202"/>
    </row>
    <row r="92" spans="1:14" s="163" customFormat="1" x14ac:dyDescent="0.25">
      <c r="A92" s="257"/>
      <c r="B92" s="202"/>
      <c r="C92" s="202"/>
      <c r="D92" s="210"/>
      <c r="E92" s="210"/>
      <c r="F92" s="202"/>
      <c r="G92" s="202"/>
      <c r="H92" s="202"/>
      <c r="I92" s="202"/>
      <c r="J92" s="202"/>
      <c r="K92" s="202"/>
      <c r="L92" s="202"/>
      <c r="M92" s="202"/>
      <c r="N92" s="202"/>
    </row>
    <row r="93" spans="1:14" s="163" customFormat="1" x14ac:dyDescent="0.25">
      <c r="A93" s="257"/>
      <c r="B93" s="202"/>
      <c r="C93" s="202"/>
      <c r="D93" s="210"/>
      <c r="E93" s="210"/>
      <c r="F93" s="202"/>
      <c r="G93" s="202"/>
      <c r="H93" s="202"/>
      <c r="I93" s="202"/>
      <c r="J93" s="202"/>
      <c r="K93" s="202"/>
      <c r="L93" s="202"/>
      <c r="M93" s="202"/>
      <c r="N93" s="202"/>
    </row>
    <row r="94" spans="1:14" s="163" customFormat="1" x14ac:dyDescent="0.25">
      <c r="A94" s="257"/>
      <c r="B94" s="202"/>
      <c r="C94" s="202"/>
      <c r="D94" s="210"/>
      <c r="E94" s="210"/>
      <c r="F94" s="202"/>
      <c r="G94" s="202"/>
      <c r="H94" s="202"/>
      <c r="I94" s="202"/>
      <c r="J94" s="202"/>
      <c r="K94" s="202"/>
      <c r="L94" s="202"/>
      <c r="M94" s="202"/>
      <c r="N94" s="202"/>
    </row>
    <row r="95" spans="1:14" s="163" customFormat="1" x14ac:dyDescent="0.25">
      <c r="A95" s="257"/>
      <c r="B95" s="202"/>
      <c r="C95" s="202"/>
      <c r="D95" s="210"/>
      <c r="E95" s="210"/>
      <c r="F95" s="202"/>
      <c r="G95" s="202"/>
      <c r="H95" s="202"/>
      <c r="I95" s="202"/>
      <c r="J95" s="202"/>
      <c r="K95" s="202"/>
      <c r="L95" s="202"/>
      <c r="M95" s="202"/>
      <c r="N95" s="202"/>
    </row>
    <row r="96" spans="1:14" s="163" customFormat="1" x14ac:dyDescent="0.25">
      <c r="A96" s="257"/>
      <c r="B96" s="202"/>
      <c r="C96" s="202"/>
      <c r="D96" s="210"/>
      <c r="E96" s="210"/>
      <c r="F96" s="202"/>
      <c r="G96" s="202"/>
      <c r="H96" s="202"/>
      <c r="I96" s="202"/>
      <c r="J96" s="202"/>
      <c r="K96" s="202"/>
      <c r="L96" s="202"/>
      <c r="M96" s="202"/>
      <c r="N96" s="202"/>
    </row>
    <row r="97" spans="1:14" s="163" customFormat="1" x14ac:dyDescent="0.25">
      <c r="A97" s="257"/>
      <c r="B97" s="202"/>
      <c r="C97" s="202"/>
      <c r="D97" s="210"/>
      <c r="E97" s="210"/>
      <c r="F97" s="202"/>
      <c r="G97" s="202"/>
      <c r="H97" s="202"/>
      <c r="I97" s="202"/>
      <c r="J97" s="202"/>
      <c r="K97" s="202"/>
      <c r="L97" s="202"/>
      <c r="M97" s="202"/>
      <c r="N97" s="202"/>
    </row>
    <row r="98" spans="1:14" s="163" customFormat="1" x14ac:dyDescent="0.25">
      <c r="A98" s="257"/>
      <c r="B98" s="202"/>
      <c r="C98" s="202"/>
      <c r="D98" s="210"/>
      <c r="E98" s="210"/>
      <c r="F98" s="202"/>
      <c r="G98" s="202"/>
      <c r="H98" s="202"/>
      <c r="I98" s="202"/>
      <c r="J98" s="202"/>
      <c r="K98" s="202"/>
      <c r="L98" s="202"/>
      <c r="M98" s="202"/>
      <c r="N98" s="202"/>
    </row>
    <row r="99" spans="1:14" s="163" customFormat="1" x14ac:dyDescent="0.25">
      <c r="A99" s="257"/>
      <c r="B99" s="202"/>
      <c r="C99" s="202"/>
      <c r="D99" s="210"/>
      <c r="E99" s="210"/>
      <c r="F99" s="202"/>
      <c r="G99" s="202"/>
      <c r="H99" s="202"/>
      <c r="I99" s="202"/>
      <c r="J99" s="202"/>
      <c r="K99" s="202"/>
      <c r="L99" s="202"/>
      <c r="M99" s="202"/>
      <c r="N99" s="202"/>
    </row>
    <row r="100" spans="1:14" s="163" customFormat="1" x14ac:dyDescent="0.25">
      <c r="A100" s="257"/>
      <c r="B100" s="202"/>
      <c r="C100" s="202"/>
      <c r="D100" s="210"/>
      <c r="E100" s="210"/>
      <c r="F100" s="202"/>
      <c r="G100" s="202"/>
      <c r="H100" s="202"/>
      <c r="I100" s="202"/>
      <c r="J100" s="202"/>
      <c r="K100" s="202"/>
      <c r="L100" s="202"/>
      <c r="M100" s="202"/>
      <c r="N100" s="202"/>
    </row>
    <row r="101" spans="1:14" s="163" customFormat="1" x14ac:dyDescent="0.25">
      <c r="A101" s="257"/>
      <c r="B101" s="202"/>
      <c r="C101" s="202"/>
      <c r="D101" s="210"/>
      <c r="E101" s="210"/>
      <c r="F101" s="202"/>
      <c r="G101" s="202"/>
      <c r="H101" s="202"/>
      <c r="I101" s="202"/>
      <c r="J101" s="202"/>
      <c r="K101" s="202"/>
      <c r="L101" s="202"/>
      <c r="M101" s="202"/>
      <c r="N101" s="202"/>
    </row>
    <row r="102" spans="1:14" s="163" customFormat="1" x14ac:dyDescent="0.25">
      <c r="A102" s="257"/>
      <c r="B102" s="202"/>
      <c r="C102" s="202"/>
      <c r="D102" s="210"/>
      <c r="E102" s="210"/>
      <c r="F102" s="202"/>
      <c r="G102" s="202"/>
      <c r="H102" s="202"/>
      <c r="I102" s="202"/>
      <c r="J102" s="202"/>
      <c r="K102" s="202"/>
      <c r="L102" s="202"/>
      <c r="M102" s="202"/>
      <c r="N102" s="202"/>
    </row>
    <row r="103" spans="1:14" s="163" customFormat="1" x14ac:dyDescent="0.25">
      <c r="A103" s="257"/>
      <c r="B103" s="202"/>
      <c r="C103" s="202"/>
      <c r="D103" s="210"/>
      <c r="E103" s="210"/>
      <c r="F103" s="202"/>
      <c r="G103" s="202"/>
      <c r="H103" s="202"/>
      <c r="I103" s="202"/>
      <c r="J103" s="202"/>
      <c r="K103" s="202"/>
      <c r="L103" s="202"/>
      <c r="M103" s="202"/>
      <c r="N103" s="202"/>
    </row>
    <row r="104" spans="1:14" s="163" customFormat="1" x14ac:dyDescent="0.25">
      <c r="A104" s="257"/>
      <c r="B104" s="202"/>
      <c r="C104" s="202"/>
      <c r="D104" s="210"/>
      <c r="E104" s="210"/>
      <c r="F104" s="202"/>
      <c r="G104" s="202"/>
      <c r="H104" s="202"/>
      <c r="I104" s="202"/>
      <c r="J104" s="202"/>
      <c r="K104" s="202"/>
      <c r="L104" s="202"/>
      <c r="M104" s="202"/>
      <c r="N104" s="202"/>
    </row>
    <row r="105" spans="1:14" s="163" customFormat="1" x14ac:dyDescent="0.25">
      <c r="A105" s="257"/>
      <c r="B105" s="202"/>
      <c r="C105" s="202"/>
      <c r="D105" s="210"/>
      <c r="E105" s="210"/>
      <c r="F105" s="202"/>
      <c r="G105" s="202"/>
      <c r="H105" s="202"/>
      <c r="I105" s="202"/>
      <c r="J105" s="202"/>
      <c r="K105" s="202"/>
      <c r="L105" s="202"/>
      <c r="M105" s="202"/>
      <c r="N105" s="202"/>
    </row>
    <row r="106" spans="1:14" s="163" customFormat="1" x14ac:dyDescent="0.25">
      <c r="A106" s="257"/>
      <c r="B106" s="202"/>
      <c r="C106" s="202"/>
      <c r="D106" s="210"/>
      <c r="E106" s="210"/>
      <c r="F106" s="202"/>
      <c r="G106" s="202"/>
      <c r="H106" s="202"/>
      <c r="I106" s="202"/>
      <c r="J106" s="202"/>
      <c r="K106" s="202"/>
      <c r="L106" s="202"/>
      <c r="M106" s="202"/>
      <c r="N106" s="202"/>
    </row>
    <row r="107" spans="1:14" s="163" customFormat="1" x14ac:dyDescent="0.25">
      <c r="A107" s="257"/>
      <c r="B107" s="202"/>
      <c r="C107" s="202"/>
      <c r="D107" s="210"/>
      <c r="E107" s="210"/>
      <c r="F107" s="202"/>
      <c r="G107" s="202"/>
      <c r="H107" s="202"/>
      <c r="I107" s="202"/>
      <c r="J107" s="202"/>
      <c r="K107" s="202"/>
      <c r="L107" s="202"/>
      <c r="M107" s="202"/>
      <c r="N107" s="202"/>
    </row>
    <row r="108" spans="1:14" s="163" customFormat="1" x14ac:dyDescent="0.25">
      <c r="A108" s="257"/>
      <c r="B108" s="202"/>
      <c r="C108" s="202"/>
      <c r="D108" s="210"/>
      <c r="E108" s="210"/>
      <c r="F108" s="202"/>
      <c r="G108" s="202"/>
      <c r="H108" s="202"/>
      <c r="I108" s="202"/>
      <c r="J108" s="202"/>
      <c r="K108" s="202"/>
      <c r="L108" s="202"/>
      <c r="M108" s="202"/>
      <c r="N108" s="202"/>
    </row>
    <row r="109" spans="1:14" s="163" customFormat="1" x14ac:dyDescent="0.25">
      <c r="A109" s="257"/>
      <c r="B109" s="202"/>
      <c r="C109" s="202"/>
      <c r="D109" s="210"/>
      <c r="E109" s="210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s="163" customFormat="1" x14ac:dyDescent="0.25">
      <c r="A110" s="257"/>
      <c r="B110" s="202"/>
      <c r="C110" s="202"/>
      <c r="D110" s="210"/>
      <c r="E110" s="210"/>
      <c r="F110" s="202"/>
      <c r="G110" s="202"/>
      <c r="H110" s="202"/>
      <c r="I110" s="202"/>
      <c r="J110" s="202"/>
      <c r="K110" s="202"/>
      <c r="L110" s="202"/>
      <c r="M110" s="202"/>
      <c r="N110" s="202"/>
    </row>
    <row r="111" spans="1:14" s="163" customFormat="1" x14ac:dyDescent="0.25">
      <c r="A111" s="257"/>
      <c r="B111" s="202"/>
      <c r="C111" s="202"/>
      <c r="D111" s="210"/>
      <c r="E111" s="210"/>
      <c r="F111" s="202"/>
      <c r="G111" s="202"/>
      <c r="H111" s="202"/>
      <c r="I111" s="202"/>
      <c r="J111" s="202"/>
      <c r="K111" s="202"/>
      <c r="L111" s="202"/>
      <c r="M111" s="202"/>
      <c r="N111" s="202"/>
    </row>
    <row r="112" spans="1:14" s="163" customFormat="1" x14ac:dyDescent="0.25">
      <c r="A112" s="257"/>
      <c r="B112" s="202"/>
      <c r="C112" s="202"/>
      <c r="D112" s="210"/>
      <c r="E112" s="210"/>
      <c r="F112" s="202"/>
      <c r="G112" s="202"/>
      <c r="H112" s="202"/>
      <c r="I112" s="202"/>
      <c r="J112" s="202"/>
      <c r="K112" s="202"/>
      <c r="L112" s="202"/>
      <c r="M112" s="202"/>
      <c r="N112" s="202"/>
    </row>
    <row r="113" spans="1:14" s="163" customFormat="1" x14ac:dyDescent="0.25">
      <c r="A113" s="257"/>
      <c r="B113" s="202"/>
      <c r="C113" s="202"/>
      <c r="D113" s="210"/>
      <c r="E113" s="210"/>
      <c r="F113" s="202"/>
      <c r="G113" s="202"/>
      <c r="H113" s="202"/>
      <c r="I113" s="202"/>
      <c r="J113" s="202"/>
      <c r="K113" s="202"/>
      <c r="L113" s="202"/>
      <c r="M113" s="202"/>
      <c r="N113" s="202"/>
    </row>
    <row r="114" spans="1:14" s="163" customFormat="1" x14ac:dyDescent="0.25">
      <c r="A114" s="257"/>
      <c r="B114" s="202"/>
      <c r="C114" s="202"/>
      <c r="D114" s="210"/>
      <c r="E114" s="210"/>
      <c r="F114" s="202"/>
      <c r="G114" s="202"/>
      <c r="H114" s="202"/>
      <c r="I114" s="202"/>
      <c r="J114" s="202"/>
      <c r="K114" s="202"/>
      <c r="L114" s="202"/>
      <c r="M114" s="202"/>
      <c r="N114" s="202"/>
    </row>
    <row r="115" spans="1:14" s="163" customFormat="1" x14ac:dyDescent="0.25">
      <c r="A115" s="257"/>
      <c r="B115" s="202"/>
      <c r="C115" s="202"/>
      <c r="D115" s="210"/>
      <c r="E115" s="210"/>
      <c r="F115" s="202"/>
      <c r="G115" s="202"/>
      <c r="H115" s="202"/>
      <c r="I115" s="202"/>
      <c r="J115" s="202"/>
      <c r="K115" s="202"/>
      <c r="L115" s="202"/>
      <c r="M115" s="202"/>
      <c r="N115" s="202"/>
    </row>
    <row r="116" spans="1:14" s="163" customFormat="1" x14ac:dyDescent="0.25">
      <c r="A116" s="257"/>
      <c r="B116" s="202"/>
      <c r="C116" s="202"/>
      <c r="D116" s="210"/>
      <c r="E116" s="210"/>
      <c r="F116" s="202"/>
      <c r="G116" s="202"/>
      <c r="H116" s="202"/>
      <c r="I116" s="202"/>
      <c r="J116" s="202"/>
      <c r="K116" s="202"/>
      <c r="L116" s="202"/>
      <c r="M116" s="202"/>
      <c r="N116" s="202"/>
    </row>
    <row r="117" spans="1:14" s="163" customFormat="1" x14ac:dyDescent="0.25">
      <c r="A117" s="257"/>
      <c r="B117" s="202"/>
      <c r="C117" s="202"/>
      <c r="D117" s="210"/>
      <c r="E117" s="210"/>
      <c r="F117" s="202"/>
      <c r="G117" s="202"/>
      <c r="H117" s="202"/>
      <c r="I117" s="202"/>
      <c r="J117" s="202"/>
      <c r="K117" s="202"/>
      <c r="L117" s="202"/>
      <c r="M117" s="202"/>
      <c r="N117" s="202"/>
    </row>
    <row r="118" spans="1:14" s="163" customFormat="1" x14ac:dyDescent="0.25">
      <c r="A118" s="257"/>
      <c r="B118" s="202"/>
      <c r="C118" s="202"/>
      <c r="D118" s="210"/>
      <c r="E118" s="210"/>
      <c r="F118" s="202"/>
      <c r="G118" s="202"/>
      <c r="H118" s="202"/>
      <c r="I118" s="202"/>
      <c r="J118" s="202"/>
      <c r="K118" s="202"/>
      <c r="L118" s="202"/>
      <c r="M118" s="202"/>
      <c r="N118" s="202"/>
    </row>
    <row r="119" spans="1:14" s="163" customFormat="1" ht="22.5" x14ac:dyDescent="0.25">
      <c r="A119" s="256"/>
      <c r="B119" s="201"/>
      <c r="C119" s="266"/>
      <c r="D119" s="267"/>
      <c r="E119" s="267"/>
      <c r="F119" s="267"/>
      <c r="G119" s="268"/>
      <c r="H119" s="268"/>
      <c r="I119" s="266"/>
      <c r="J119" s="266">
        <f>J64+J79+J78</f>
        <v>57365248.265894733</v>
      </c>
      <c r="K119" s="266">
        <f>K64+K79+K78</f>
        <v>43020592.246883415</v>
      </c>
      <c r="L119" s="266">
        <f>L64+L79+L78</f>
        <v>48505951.237777591</v>
      </c>
      <c r="M119" s="266">
        <f>M64+M79+M78</f>
        <v>51671761.830207698</v>
      </c>
      <c r="N119" s="266">
        <f>N64+N79+N78</f>
        <v>55021564.710466139</v>
      </c>
    </row>
    <row r="120" spans="1:14" s="163" customFormat="1" ht="22.5" x14ac:dyDescent="0.25">
      <c r="A120" s="256"/>
      <c r="B120" s="201"/>
      <c r="C120" s="266"/>
      <c r="D120" s="267"/>
      <c r="E120" s="267"/>
      <c r="F120" s="267"/>
      <c r="G120" s="268"/>
      <c r="H120" s="268"/>
      <c r="I120" s="266" t="s">
        <v>267</v>
      </c>
      <c r="J120" s="266"/>
      <c r="K120" s="266">
        <v>2520532</v>
      </c>
      <c r="L120" s="266"/>
      <c r="M120" s="266"/>
      <c r="N120" s="266"/>
    </row>
    <row r="121" spans="1:14" x14ac:dyDescent="0.25">
      <c r="C121" s="268"/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</row>
    <row r="122" spans="1:14" ht="67.5" x14ac:dyDescent="0.25">
      <c r="C122" s="270"/>
      <c r="D122" s="270"/>
      <c r="E122" s="270"/>
      <c r="F122" s="271" t="s">
        <v>251</v>
      </c>
      <c r="G122" s="266">
        <f>G64/100*5</f>
        <v>1146821.9642382541</v>
      </c>
      <c r="H122" s="266">
        <f>H64/100*5</f>
        <v>1754404.5630863518</v>
      </c>
      <c r="I122" s="266">
        <f>I64/100*5</f>
        <v>2737136.9668057151</v>
      </c>
      <c r="J122" s="266">
        <f>J64/100*5+J79+J78</f>
        <v>2999552.4044787372</v>
      </c>
      <c r="K122" s="266">
        <f>K64/100*5+K79+K78</f>
        <v>2295902.3825560524</v>
      </c>
      <c r="L122" s="266">
        <f>L64/100*5+L79+L78</f>
        <v>2582492.0858605341</v>
      </c>
      <c r="M122" s="266">
        <f>M64/100*5+M79+M78</f>
        <v>2738537.4183285669</v>
      </c>
      <c r="N122" s="266">
        <f>N64/100*5+N79+N78</f>
        <v>2906027.5623414889</v>
      </c>
    </row>
    <row r="123" spans="1:14" ht="53.25" customHeight="1" x14ac:dyDescent="0.25">
      <c r="C123" s="270"/>
      <c r="D123" s="270"/>
      <c r="E123" s="270"/>
      <c r="F123" s="271" t="s">
        <v>252</v>
      </c>
      <c r="G123" s="266">
        <f>G65*0.05</f>
        <v>1240829.5</v>
      </c>
      <c r="H123" s="266">
        <f>H65*0.05</f>
        <v>1980646.5</v>
      </c>
      <c r="I123" s="266">
        <f>I65*0.05</f>
        <v>1943433.5</v>
      </c>
      <c r="J123" s="267">
        <v>2849830</v>
      </c>
      <c r="K123" s="267">
        <f>K122/J123*100</f>
        <v>80.562783834686712</v>
      </c>
      <c r="L123" s="267">
        <f>L122/K122*100</f>
        <v>112.48266065151333</v>
      </c>
      <c r="M123" s="267">
        <f>M122/L122*100</f>
        <v>106.04243216551951</v>
      </c>
      <c r="N123" s="267">
        <f>N122/M122*100</f>
        <v>106.11604365497944</v>
      </c>
    </row>
    <row r="124" spans="1:14" ht="22.5" x14ac:dyDescent="0.25">
      <c r="C124" s="270"/>
      <c r="D124" s="272"/>
      <c r="E124" s="270"/>
      <c r="F124" s="273" t="s">
        <v>231</v>
      </c>
      <c r="G124" s="266">
        <f>(G64-G62)/100*5</f>
        <v>1346885.2863699156</v>
      </c>
      <c r="H124" s="266">
        <f>(H64-H62)/100*5</f>
        <v>2065681.4934849022</v>
      </c>
      <c r="I124" s="266">
        <f>(I64-I62)/100*5</f>
        <v>3063104.9890192836</v>
      </c>
      <c r="J124" s="266">
        <f>(J64-J62)/100*5+J78*0.05+J79</f>
        <v>2962422.6044787373</v>
      </c>
      <c r="K124" s="266">
        <f>(K64-K62)/100*5+K78+K79</f>
        <v>2295902.3825560524</v>
      </c>
      <c r="L124" s="266">
        <f>(L64-L62)/100*5+L78+L79</f>
        <v>2582492.0858605341</v>
      </c>
      <c r="M124" s="266">
        <f>(M64-M62)/100*5+M78+M79</f>
        <v>2738537.4183285669</v>
      </c>
      <c r="N124" s="266">
        <f>(N64-N62)/100*5+N78+N79</f>
        <v>2906027.5623414889</v>
      </c>
    </row>
    <row r="125" spans="1:14" s="163" customFormat="1" ht="23.25" x14ac:dyDescent="0.25">
      <c r="A125" s="257"/>
      <c r="B125" s="202"/>
      <c r="C125" s="274" t="s">
        <v>299</v>
      </c>
      <c r="D125" s="272"/>
      <c r="E125" s="270"/>
      <c r="F125" s="273"/>
      <c r="G125" s="266"/>
      <c r="H125" s="266"/>
      <c r="I125" s="266"/>
      <c r="J125" s="266">
        <f>J124-J126-J127-J128</f>
        <v>2799212.7137587373</v>
      </c>
      <c r="K125" s="266">
        <f>K124-K126-K127-K128</f>
        <v>2161022.7297014399</v>
      </c>
      <c r="L125" s="266">
        <f t="shared" ref="L125:M125" si="45">L124-L126-L127-L128</f>
        <v>2417024.1658903714</v>
      </c>
      <c r="M125" s="266">
        <f t="shared" si="45"/>
        <v>2575432.8637831123</v>
      </c>
      <c r="N125" s="266">
        <f t="shared" ref="N125" si="46">N124-N126-N127-N128</f>
        <v>2742923.0077960342</v>
      </c>
    </row>
    <row r="126" spans="1:14" s="163" customFormat="1" ht="23.25" x14ac:dyDescent="0.25">
      <c r="A126" s="257"/>
      <c r="B126" s="202"/>
      <c r="C126" s="274" t="s">
        <v>300</v>
      </c>
      <c r="D126" s="272"/>
      <c r="E126" s="270"/>
      <c r="F126" s="273"/>
      <c r="G126" s="266"/>
      <c r="H126" s="266"/>
      <c r="I126" s="266"/>
      <c r="J126" s="266">
        <f>J46*0.05</f>
        <v>25009.9</v>
      </c>
      <c r="K126" s="266">
        <f>K61*0.05</f>
        <v>-17618</v>
      </c>
      <c r="L126" s="266">
        <f>L46*0.05</f>
        <v>0</v>
      </c>
      <c r="M126" s="266">
        <f>M46*0.05</f>
        <v>0</v>
      </c>
      <c r="N126" s="266">
        <f>N46*0.05</f>
        <v>0</v>
      </c>
    </row>
    <row r="127" spans="1:14" s="163" customFormat="1" ht="23.25" x14ac:dyDescent="0.25">
      <c r="A127" s="257"/>
      <c r="B127" s="202"/>
      <c r="C127" s="274" t="s">
        <v>259</v>
      </c>
      <c r="D127" s="272"/>
      <c r="E127" s="270"/>
      <c r="F127" s="273"/>
      <c r="G127" s="266"/>
      <c r="H127" s="266"/>
      <c r="I127" s="266"/>
      <c r="J127" s="266">
        <f t="shared" ref="J127:N128" si="47">J78</f>
        <v>39084</v>
      </c>
      <c r="K127" s="266">
        <f t="shared" si="47"/>
        <v>65241.821818181823</v>
      </c>
      <c r="L127" s="266">
        <f t="shared" si="47"/>
        <v>97862.732727272742</v>
      </c>
      <c r="M127" s="266">
        <f t="shared" si="47"/>
        <v>163104.55454545456</v>
      </c>
      <c r="N127" s="266">
        <f t="shared" si="47"/>
        <v>163104.55454545456</v>
      </c>
    </row>
    <row r="128" spans="1:14" s="163" customFormat="1" ht="23.25" x14ac:dyDescent="0.25">
      <c r="A128" s="257"/>
      <c r="B128" s="202"/>
      <c r="C128" s="274" t="s">
        <v>301</v>
      </c>
      <c r="D128" s="272"/>
      <c r="E128" s="270"/>
      <c r="F128" s="273"/>
      <c r="G128" s="266"/>
      <c r="H128" s="266"/>
      <c r="I128" s="266"/>
      <c r="J128" s="266">
        <f t="shared" si="47"/>
        <v>99115.990719999987</v>
      </c>
      <c r="K128" s="266">
        <f t="shared" si="47"/>
        <v>87255.831036431002</v>
      </c>
      <c r="L128" s="266">
        <f t="shared" si="47"/>
        <v>67605.18724288985</v>
      </c>
      <c r="M128" s="266">
        <f t="shared" si="47"/>
        <v>0</v>
      </c>
      <c r="N128" s="266">
        <f t="shared" si="47"/>
        <v>0</v>
      </c>
    </row>
    <row r="129" spans="3:14" ht="21" x14ac:dyDescent="0.25">
      <c r="C129" s="268"/>
      <c r="D129" s="268"/>
      <c r="E129" s="268"/>
      <c r="F129" s="268"/>
      <c r="G129" s="269">
        <f>G123/G122*100</f>
        <v>108.19722142522687</v>
      </c>
      <c r="H129" s="269">
        <f t="shared" ref="H129" si="48">H123/H122*100</f>
        <v>112.89565369777897</v>
      </c>
      <c r="I129" s="269">
        <f>I123/I122*100</f>
        <v>71.002420542659934</v>
      </c>
      <c r="J129" s="269">
        <f>J123/J122*100</f>
        <v>95.008508460956335</v>
      </c>
      <c r="K129" s="268"/>
      <c r="L129" s="268"/>
      <c r="M129" s="268"/>
      <c r="N129" s="268"/>
    </row>
    <row r="130" spans="3:14" x14ac:dyDescent="0.25">
      <c r="C130" s="263"/>
      <c r="D130" s="265"/>
      <c r="E130" s="265"/>
      <c r="F130" s="263"/>
      <c r="G130" s="263"/>
      <c r="H130" s="263"/>
      <c r="I130" s="263"/>
      <c r="J130" s="263"/>
      <c r="K130" s="263"/>
      <c r="L130" s="263"/>
      <c r="M130" s="263"/>
      <c r="N130" s="263"/>
    </row>
    <row r="131" spans="3:14" x14ac:dyDescent="0.25">
      <c r="C131" s="263"/>
      <c r="D131" s="265"/>
      <c r="E131" s="265"/>
      <c r="F131" s="263"/>
      <c r="G131" s="263"/>
      <c r="H131" s="263"/>
      <c r="I131" s="263"/>
      <c r="J131" s="263"/>
      <c r="K131" s="263"/>
      <c r="L131" s="263"/>
      <c r="M131" s="263"/>
      <c r="N131" s="263"/>
    </row>
    <row r="132" spans="3:14" ht="22.5" x14ac:dyDescent="0.25">
      <c r="C132" s="263"/>
      <c r="D132" s="265"/>
      <c r="E132" s="265"/>
      <c r="F132" s="263"/>
      <c r="G132" s="263"/>
      <c r="H132" s="263"/>
      <c r="I132" s="264"/>
      <c r="J132" s="264"/>
      <c r="K132" s="264"/>
      <c r="L132" s="264"/>
      <c r="M132" s="264"/>
      <c r="N132" s="264"/>
    </row>
    <row r="133" spans="3:14" ht="26.25" x14ac:dyDescent="0.25">
      <c r="J133" s="211"/>
      <c r="K133" s="211"/>
      <c r="L133" s="211"/>
      <c r="M133" s="211"/>
      <c r="N133" s="211"/>
    </row>
    <row r="135" spans="3:14" ht="23.25" x14ac:dyDescent="0.25">
      <c r="I135" s="209"/>
      <c r="J135" s="212"/>
      <c r="K135" s="212"/>
      <c r="L135" s="212"/>
      <c r="M135" s="212"/>
      <c r="N135" s="212"/>
    </row>
    <row r="136" spans="3:14" ht="26.25" x14ac:dyDescent="0.25">
      <c r="K136" s="211"/>
      <c r="L136" s="211"/>
      <c r="M136" s="211"/>
      <c r="N136" s="211"/>
    </row>
  </sheetData>
  <mergeCells count="6">
    <mergeCell ref="B87:K87"/>
    <mergeCell ref="B2:F2"/>
    <mergeCell ref="A73:B73"/>
    <mergeCell ref="A74:B74"/>
    <mergeCell ref="B1:N1"/>
    <mergeCell ref="M87:N87"/>
  </mergeCells>
  <pageMargins left="0.31496062992125984" right="0.11811023622047245" top="0.55118110236220474" bottom="0.15748031496062992" header="0.31496062992125984" footer="0.11811023622047245"/>
  <pageSetup paperSize="9" scale="5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E8" sqref="E8"/>
    </sheetView>
  </sheetViews>
  <sheetFormatPr defaultRowHeight="15" x14ac:dyDescent="0.25"/>
  <cols>
    <col min="1" max="1" width="14.140625" style="163" customWidth="1"/>
    <col min="2" max="2" width="53.7109375" style="163" customWidth="1"/>
    <col min="3" max="3" width="37.7109375" style="163" customWidth="1"/>
    <col min="4" max="4" width="19.42578125" style="163" customWidth="1"/>
    <col min="5" max="5" width="21.5703125" style="163" customWidth="1"/>
    <col min="6" max="6" width="21.85546875" style="163" customWidth="1"/>
    <col min="7" max="8" width="20.7109375" style="163" customWidth="1"/>
  </cols>
  <sheetData>
    <row r="1" spans="1:8" ht="15.75" thickBot="1" x14ac:dyDescent="0.3">
      <c r="H1" s="163" t="s">
        <v>223</v>
      </c>
    </row>
    <row r="2" spans="1:8" ht="21.75" thickBot="1" x14ac:dyDescent="0.4">
      <c r="A2" s="161"/>
      <c r="B2" s="177" t="s">
        <v>0</v>
      </c>
      <c r="C2" s="178"/>
      <c r="D2" s="179" t="s">
        <v>305</v>
      </c>
      <c r="E2" s="179" t="s">
        <v>232</v>
      </c>
      <c r="F2" s="179" t="s">
        <v>245</v>
      </c>
      <c r="G2" s="179" t="s">
        <v>254</v>
      </c>
      <c r="H2" s="179" t="s">
        <v>302</v>
      </c>
    </row>
    <row r="3" spans="1:8" ht="38.25" thickBot="1" x14ac:dyDescent="0.35">
      <c r="A3" s="158">
        <v>1</v>
      </c>
      <c r="B3" s="180" t="s">
        <v>306</v>
      </c>
      <c r="C3" s="181" t="s">
        <v>307</v>
      </c>
      <c r="D3" s="182">
        <f>D4*D5*D6+D7</f>
        <v>39084</v>
      </c>
      <c r="E3" s="182">
        <f>(E4*E5*E6+E7)/D10*E10</f>
        <v>65241.821818181823</v>
      </c>
      <c r="F3" s="182">
        <f>(F4*F5*F6+F7)/D10*F10</f>
        <v>97862.732727272742</v>
      </c>
      <c r="G3" s="182">
        <f>(G4*G5*G6+G7)/D10*G10</f>
        <v>163104.55454545456</v>
      </c>
      <c r="H3" s="182">
        <f>(H4*H5*H6+H7)/D10*H10</f>
        <v>163104.55454545456</v>
      </c>
    </row>
    <row r="4" spans="1:8" ht="79.5" thickBot="1" x14ac:dyDescent="0.3">
      <c r="A4" s="159">
        <v>2</v>
      </c>
      <c r="B4" s="183" t="s">
        <v>308</v>
      </c>
      <c r="C4" s="181" t="s">
        <v>309</v>
      </c>
      <c r="D4" s="184">
        <v>0</v>
      </c>
      <c r="E4" s="184">
        <f>D4</f>
        <v>0</v>
      </c>
      <c r="F4" s="184">
        <f>D4</f>
        <v>0</v>
      </c>
      <c r="G4" s="184">
        <f>D4</f>
        <v>0</v>
      </c>
      <c r="H4" s="184">
        <f>E4</f>
        <v>0</v>
      </c>
    </row>
    <row r="5" spans="1:8" ht="32.25" thickBot="1" x14ac:dyDescent="0.3">
      <c r="A5" s="159">
        <v>3</v>
      </c>
      <c r="B5" s="185" t="s">
        <v>310</v>
      </c>
      <c r="C5" s="181" t="s">
        <v>311</v>
      </c>
      <c r="D5" s="186">
        <v>71.7</v>
      </c>
      <c r="E5" s="186">
        <v>101.1</v>
      </c>
      <c r="F5" s="186">
        <v>106.3</v>
      </c>
      <c r="G5" s="186">
        <v>104</v>
      </c>
      <c r="H5" s="186">
        <v>104.7</v>
      </c>
    </row>
    <row r="6" spans="1:8" ht="21.75" thickBot="1" x14ac:dyDescent="0.3">
      <c r="A6" s="159">
        <v>4</v>
      </c>
      <c r="B6" s="187" t="s">
        <v>312</v>
      </c>
      <c r="C6" s="181" t="s">
        <v>313</v>
      </c>
      <c r="D6" s="188">
        <v>17</v>
      </c>
      <c r="E6" s="188">
        <v>17</v>
      </c>
      <c r="F6" s="188">
        <v>17</v>
      </c>
      <c r="G6" s="188">
        <v>17</v>
      </c>
      <c r="H6" s="188">
        <v>17</v>
      </c>
    </row>
    <row r="7" spans="1:8" ht="32.25" thickBot="1" x14ac:dyDescent="0.3">
      <c r="A7" s="159">
        <v>5</v>
      </c>
      <c r="B7" s="189" t="s">
        <v>314</v>
      </c>
      <c r="C7" s="181" t="s">
        <v>315</v>
      </c>
      <c r="D7" s="190">
        <f>D8/11*11</f>
        <v>39084</v>
      </c>
      <c r="E7" s="190">
        <f>D8/11*12+E9*E10/100*0.05</f>
        <v>32620.910909090911</v>
      </c>
      <c r="F7" s="190">
        <f>E7</f>
        <v>32620.910909090911</v>
      </c>
      <c r="G7" s="190">
        <f>F7</f>
        <v>32620.910909090911</v>
      </c>
      <c r="H7" s="190">
        <f>G7</f>
        <v>32620.910909090911</v>
      </c>
    </row>
    <row r="8" spans="1:8" ht="21.75" thickBot="1" x14ac:dyDescent="0.3">
      <c r="A8" s="159">
        <v>5.0999999999999996</v>
      </c>
      <c r="B8" s="191" t="s">
        <v>316</v>
      </c>
      <c r="C8" s="187" t="s">
        <v>317</v>
      </c>
      <c r="D8" s="190">
        <v>39084</v>
      </c>
      <c r="E8" s="192"/>
      <c r="F8" s="192"/>
      <c r="G8" s="192"/>
      <c r="H8" s="192"/>
    </row>
    <row r="9" spans="1:8" s="163" customFormat="1" ht="21.75" thickBot="1" x14ac:dyDescent="0.3">
      <c r="A9" s="159">
        <v>5.2</v>
      </c>
      <c r="B9" s="191" t="s">
        <v>334</v>
      </c>
      <c r="C9" s="187" t="s">
        <v>335</v>
      </c>
      <c r="D9" s="190"/>
      <c r="E9" s="192">
        <v>-500809</v>
      </c>
      <c r="F9" s="192">
        <f>E9</f>
        <v>-500809</v>
      </c>
      <c r="G9" s="192">
        <f>E9</f>
        <v>-500809</v>
      </c>
      <c r="H9" s="192">
        <f>E9</f>
        <v>-500809</v>
      </c>
    </row>
    <row r="10" spans="1:8" ht="21.75" thickBot="1" x14ac:dyDescent="0.3">
      <c r="A10" s="159">
        <v>6</v>
      </c>
      <c r="B10" s="187" t="s">
        <v>318</v>
      </c>
      <c r="C10" s="181" t="s">
        <v>319</v>
      </c>
      <c r="D10" s="193">
        <v>20</v>
      </c>
      <c r="E10" s="193">
        <v>40</v>
      </c>
      <c r="F10" s="193">
        <v>60</v>
      </c>
      <c r="G10" s="193">
        <v>100</v>
      </c>
      <c r="H10" s="193">
        <v>100</v>
      </c>
    </row>
    <row r="11" spans="1:8" ht="21.75" thickBot="1" x14ac:dyDescent="0.3">
      <c r="A11" s="194">
        <v>7</v>
      </c>
      <c r="B11" s="195" t="s">
        <v>317</v>
      </c>
      <c r="C11" s="196" t="s">
        <v>315</v>
      </c>
      <c r="D11" s="197">
        <f>D3</f>
        <v>39084</v>
      </c>
      <c r="E11" s="197">
        <f>E3</f>
        <v>65241.821818181823</v>
      </c>
      <c r="F11" s="197">
        <f>F3</f>
        <v>97862.732727272742</v>
      </c>
      <c r="G11" s="197">
        <f>G3</f>
        <v>163104.55454545456</v>
      </c>
      <c r="H11" s="197">
        <f>H3</f>
        <v>163104.55454545456</v>
      </c>
    </row>
    <row r="13" spans="1:8" ht="45" x14ac:dyDescent="0.25">
      <c r="A13" s="69">
        <v>1.8210101130011001E+19</v>
      </c>
      <c r="B13" s="69" t="s">
        <v>261</v>
      </c>
      <c r="C13" s="69"/>
      <c r="D13" s="69"/>
      <c r="E13" s="69"/>
      <c r="F13" s="69"/>
      <c r="G13" s="198"/>
      <c r="H13" s="198"/>
    </row>
    <row r="14" spans="1:8" ht="150" x14ac:dyDescent="0.25">
      <c r="A14" s="69" t="s">
        <v>320</v>
      </c>
      <c r="B14" s="69" t="s">
        <v>321</v>
      </c>
      <c r="C14" s="69" t="s">
        <v>263</v>
      </c>
      <c r="D14" s="69" t="s">
        <v>264</v>
      </c>
      <c r="E14" s="69" t="s">
        <v>265</v>
      </c>
      <c r="F14" s="69" t="s">
        <v>322</v>
      </c>
      <c r="G14" s="198"/>
      <c r="H14" s="198"/>
    </row>
    <row r="15" spans="1:8" x14ac:dyDescent="0.25">
      <c r="A15" s="60"/>
      <c r="B15" s="60"/>
      <c r="C15" s="60"/>
      <c r="D15" s="60"/>
      <c r="E15" s="60"/>
      <c r="F15" s="60"/>
    </row>
    <row r="16" spans="1:8" x14ac:dyDescent="0.25">
      <c r="A16" s="60"/>
      <c r="B16" s="60"/>
      <c r="C16" s="60"/>
      <c r="D16" s="60"/>
      <c r="E16" s="60"/>
      <c r="F16" s="60"/>
    </row>
    <row r="17" spans="1:6" x14ac:dyDescent="0.25">
      <c r="A17" s="60">
        <v>39084</v>
      </c>
      <c r="B17" s="60"/>
      <c r="C17" s="60"/>
      <c r="D17" s="60"/>
      <c r="E17" s="60"/>
      <c r="F17" s="60"/>
    </row>
    <row r="18" spans="1:6" x14ac:dyDescent="0.25">
      <c r="A18" s="60" t="s">
        <v>326</v>
      </c>
      <c r="B18" s="60"/>
      <c r="C18" s="60"/>
      <c r="D18" s="60"/>
      <c r="E18" s="60"/>
      <c r="F18" s="60"/>
    </row>
    <row r="19" spans="1:6" x14ac:dyDescent="0.25">
      <c r="A19" s="71">
        <f>A17/11</f>
        <v>3553.090909090909</v>
      </c>
      <c r="B19" s="71">
        <f>A19*11</f>
        <v>39084</v>
      </c>
      <c r="C19" s="71">
        <f>A19/20*40*12</f>
        <v>85274.181818181823</v>
      </c>
      <c r="D19" s="71">
        <f>A19/20*60*12</f>
        <v>127911.27272727274</v>
      </c>
      <c r="E19" s="71">
        <f>A19/20*100*12</f>
        <v>213185.45454545453</v>
      </c>
      <c r="F19" s="71">
        <f>A19/20*100*12</f>
        <v>213185.45454545453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41"/>
  <sheetViews>
    <sheetView workbookViewId="0">
      <selection activeCell="E30" sqref="E30"/>
    </sheetView>
  </sheetViews>
  <sheetFormatPr defaultRowHeight="15" x14ac:dyDescent="0.25"/>
  <cols>
    <col min="2" max="2" width="56.42578125" style="30" customWidth="1"/>
    <col min="3" max="3" width="14.28515625" style="30" customWidth="1"/>
    <col min="4" max="4" width="17.28515625" style="30" customWidth="1"/>
    <col min="5" max="5" width="10.85546875" style="30" customWidth="1"/>
    <col min="6" max="10" width="9.140625" style="30"/>
    <col min="11" max="12" width="9.140625" style="163"/>
  </cols>
  <sheetData>
    <row r="3" spans="2:10" x14ac:dyDescent="0.25">
      <c r="B3" s="71">
        <v>3701000</v>
      </c>
      <c r="C3" s="71" t="s">
        <v>268</v>
      </c>
      <c r="D3" s="71" t="s">
        <v>290</v>
      </c>
      <c r="E3" s="71" t="s">
        <v>269</v>
      </c>
      <c r="F3" s="71"/>
      <c r="G3" s="71"/>
      <c r="H3" s="71"/>
      <c r="I3" s="71"/>
      <c r="J3" s="71"/>
    </row>
    <row r="4" spans="2:10" x14ac:dyDescent="0.25">
      <c r="B4" s="71" t="s">
        <v>271</v>
      </c>
      <c r="C4" s="71"/>
      <c r="D4" s="71"/>
      <c r="E4" s="71"/>
      <c r="F4" s="71"/>
      <c r="G4" s="71"/>
      <c r="H4" s="71"/>
      <c r="I4" s="71"/>
      <c r="J4" s="71"/>
    </row>
    <row r="5" spans="2:10" x14ac:dyDescent="0.25">
      <c r="B5" s="72" t="s">
        <v>272</v>
      </c>
      <c r="C5" s="71"/>
      <c r="D5" s="72"/>
      <c r="E5" s="71"/>
      <c r="F5" s="71"/>
      <c r="G5" s="71"/>
      <c r="H5" s="71"/>
      <c r="I5" s="71"/>
      <c r="J5" s="71"/>
    </row>
    <row r="6" spans="2:10" x14ac:dyDescent="0.25">
      <c r="B6" s="71" t="s">
        <v>273</v>
      </c>
      <c r="C6" s="71"/>
      <c r="D6" s="71"/>
      <c r="E6" s="71"/>
      <c r="F6" s="71"/>
      <c r="G6" s="71"/>
      <c r="H6" s="71"/>
      <c r="I6" s="71"/>
      <c r="J6" s="71"/>
    </row>
    <row r="7" spans="2:10" x14ac:dyDescent="0.25">
      <c r="B7" s="71" t="s">
        <v>274</v>
      </c>
      <c r="C7" s="71"/>
      <c r="D7" s="71"/>
      <c r="E7" s="71"/>
      <c r="F7" s="71"/>
      <c r="G7" s="71"/>
      <c r="H7" s="71"/>
      <c r="I7" s="71"/>
      <c r="J7" s="71"/>
    </row>
    <row r="8" spans="2:10" x14ac:dyDescent="0.25">
      <c r="B8" s="71" t="s">
        <v>275</v>
      </c>
      <c r="C8" s="71"/>
      <c r="D8" s="171"/>
      <c r="E8" s="71"/>
      <c r="F8" s="71"/>
      <c r="G8" s="71"/>
      <c r="H8" s="71"/>
      <c r="I8" s="71"/>
      <c r="J8" s="71"/>
    </row>
    <row r="9" spans="2:10" x14ac:dyDescent="0.25">
      <c r="B9" s="71" t="s">
        <v>276</v>
      </c>
      <c r="C9" s="71"/>
      <c r="D9" s="171"/>
      <c r="E9" s="71"/>
      <c r="F9" s="71"/>
      <c r="G9" s="71"/>
      <c r="H9" s="71"/>
      <c r="I9" s="71"/>
      <c r="J9" s="71"/>
    </row>
    <row r="10" spans="2:10" x14ac:dyDescent="0.25">
      <c r="B10" s="71" t="s">
        <v>277</v>
      </c>
      <c r="C10" s="71"/>
      <c r="D10" s="171"/>
      <c r="E10" s="71"/>
      <c r="F10" s="71"/>
      <c r="G10" s="71"/>
      <c r="H10" s="71"/>
      <c r="I10" s="71"/>
      <c r="J10" s="71"/>
    </row>
    <row r="11" spans="2:10" x14ac:dyDescent="0.25">
      <c r="B11" s="172" t="s">
        <v>278</v>
      </c>
      <c r="C11" s="172"/>
      <c r="D11" s="172"/>
      <c r="E11" s="71"/>
      <c r="F11" s="71"/>
      <c r="G11" s="71"/>
      <c r="H11" s="71"/>
      <c r="I11" s="71"/>
      <c r="J11" s="71"/>
    </row>
    <row r="12" spans="2:10" x14ac:dyDescent="0.25">
      <c r="B12" s="72" t="s">
        <v>279</v>
      </c>
      <c r="C12" s="71"/>
      <c r="D12" s="71"/>
      <c r="E12" s="71"/>
      <c r="F12" s="71"/>
      <c r="G12" s="71"/>
      <c r="H12" s="71"/>
      <c r="I12" s="71"/>
      <c r="J12" s="71"/>
    </row>
    <row r="13" spans="2:10" x14ac:dyDescent="0.25">
      <c r="B13" s="72" t="s">
        <v>280</v>
      </c>
      <c r="C13" s="71"/>
      <c r="D13" s="71"/>
      <c r="E13" s="71"/>
      <c r="F13" s="71"/>
      <c r="G13" s="71"/>
      <c r="H13" s="71"/>
      <c r="I13" s="71"/>
      <c r="J13" s="71"/>
    </row>
    <row r="14" spans="2:10" x14ac:dyDescent="0.25">
      <c r="B14" s="71" t="s">
        <v>273</v>
      </c>
      <c r="C14" s="71"/>
      <c r="D14" s="71"/>
      <c r="E14" s="71"/>
      <c r="F14" s="71"/>
      <c r="G14" s="71"/>
      <c r="H14" s="71"/>
      <c r="I14" s="71"/>
      <c r="J14" s="71"/>
    </row>
    <row r="15" spans="2:10" x14ac:dyDescent="0.25">
      <c r="B15" s="71" t="s">
        <v>274</v>
      </c>
      <c r="C15" s="71"/>
      <c r="D15" s="71"/>
      <c r="E15" s="71"/>
      <c r="F15" s="71"/>
      <c r="G15" s="71"/>
      <c r="H15" s="71"/>
      <c r="I15" s="71"/>
      <c r="J15" s="71"/>
    </row>
    <row r="16" spans="2:10" x14ac:dyDescent="0.25">
      <c r="B16" s="71" t="s">
        <v>275</v>
      </c>
      <c r="C16" s="71"/>
      <c r="D16" s="71"/>
      <c r="E16" s="71"/>
      <c r="F16" s="71"/>
      <c r="G16" s="71"/>
      <c r="H16" s="71"/>
      <c r="I16" s="71"/>
      <c r="J16" s="71"/>
    </row>
    <row r="17" spans="2:10" x14ac:dyDescent="0.25">
      <c r="B17" s="71" t="s">
        <v>276</v>
      </c>
      <c r="C17" s="71"/>
      <c r="D17" s="71"/>
      <c r="E17" s="71"/>
      <c r="F17" s="71"/>
      <c r="G17" s="71"/>
      <c r="H17" s="71"/>
      <c r="I17" s="71"/>
      <c r="J17" s="71"/>
    </row>
    <row r="18" spans="2:10" x14ac:dyDescent="0.25">
      <c r="B18" s="71" t="s">
        <v>277</v>
      </c>
      <c r="C18" s="71"/>
      <c r="D18" s="71"/>
      <c r="E18" s="71"/>
      <c r="F18" s="71"/>
      <c r="G18" s="71"/>
      <c r="H18" s="71"/>
      <c r="I18" s="71"/>
      <c r="J18" s="71"/>
    </row>
    <row r="19" spans="2:10" x14ac:dyDescent="0.25">
      <c r="B19" s="172" t="s">
        <v>278</v>
      </c>
      <c r="C19" s="172"/>
      <c r="D19" s="172"/>
      <c r="E19" s="71"/>
      <c r="F19" s="71"/>
      <c r="G19" s="71"/>
      <c r="H19" s="71"/>
      <c r="I19" s="71"/>
      <c r="J19" s="71"/>
    </row>
    <row r="20" spans="2:10" x14ac:dyDescent="0.25">
      <c r="B20" s="172" t="s">
        <v>281</v>
      </c>
      <c r="C20" s="71"/>
      <c r="D20" s="71"/>
      <c r="E20" s="71"/>
      <c r="F20" s="71"/>
      <c r="G20" s="71"/>
      <c r="H20" s="71"/>
      <c r="I20" s="71"/>
      <c r="J20" s="71"/>
    </row>
    <row r="21" spans="2:10" ht="30" x14ac:dyDescent="0.25">
      <c r="B21" s="72" t="s">
        <v>282</v>
      </c>
      <c r="C21" s="71"/>
      <c r="D21" s="71"/>
      <c r="E21" s="71"/>
      <c r="F21" s="71"/>
      <c r="G21" s="71"/>
      <c r="H21" s="71"/>
      <c r="I21" s="71"/>
      <c r="J21" s="71"/>
    </row>
    <row r="22" spans="2:10" x14ac:dyDescent="0.25">
      <c r="B22" s="173" t="s">
        <v>283</v>
      </c>
      <c r="C22" s="174"/>
      <c r="D22" s="71"/>
      <c r="E22" s="71"/>
      <c r="F22" s="71"/>
      <c r="G22" s="71"/>
      <c r="H22" s="71"/>
      <c r="I22" s="71"/>
      <c r="J22" s="71"/>
    </row>
    <row r="23" spans="2:10" x14ac:dyDescent="0.25">
      <c r="B23" s="175" t="s">
        <v>284</v>
      </c>
      <c r="C23" s="174"/>
      <c r="D23" s="71"/>
      <c r="E23" s="71"/>
      <c r="F23" s="71"/>
      <c r="G23" s="71"/>
      <c r="H23" s="71"/>
      <c r="I23" s="71"/>
      <c r="J23" s="71"/>
    </row>
    <row r="24" spans="2:10" x14ac:dyDescent="0.25">
      <c r="B24" s="175" t="s">
        <v>285</v>
      </c>
      <c r="C24" s="174"/>
      <c r="D24" s="71"/>
      <c r="E24" s="71"/>
      <c r="F24" s="71"/>
      <c r="G24" s="71"/>
      <c r="H24" s="71"/>
      <c r="I24" s="71"/>
      <c r="J24" s="71"/>
    </row>
    <row r="25" spans="2:10" x14ac:dyDescent="0.25">
      <c r="B25" s="172" t="s">
        <v>286</v>
      </c>
      <c r="C25" s="172"/>
      <c r="D25" s="71"/>
      <c r="E25" s="71"/>
      <c r="F25" s="71"/>
      <c r="G25" s="71"/>
      <c r="H25" s="71"/>
      <c r="I25" s="71"/>
      <c r="J25" s="71"/>
    </row>
    <row r="26" spans="2:10" x14ac:dyDescent="0.25">
      <c r="B26" s="72"/>
      <c r="C26" s="71"/>
      <c r="D26" s="71"/>
      <c r="E26" s="71"/>
      <c r="F26" s="71"/>
      <c r="G26" s="71"/>
      <c r="H26" s="71"/>
      <c r="I26" s="71"/>
      <c r="J26" s="71"/>
    </row>
    <row r="27" spans="2:10" x14ac:dyDescent="0.25">
      <c r="B27" s="72" t="s">
        <v>287</v>
      </c>
      <c r="C27" s="71"/>
      <c r="D27" s="71"/>
      <c r="E27" s="71"/>
      <c r="F27" s="71"/>
      <c r="G27" s="71"/>
      <c r="H27" s="71"/>
      <c r="I27" s="71"/>
      <c r="J27" s="71"/>
    </row>
    <row r="28" spans="2:10" ht="30" x14ac:dyDescent="0.25">
      <c r="B28" s="72" t="s">
        <v>288</v>
      </c>
      <c r="C28" s="71"/>
      <c r="D28" s="71"/>
      <c r="E28" s="71"/>
      <c r="F28" s="71"/>
      <c r="G28" s="71"/>
      <c r="H28" s="71"/>
      <c r="I28" s="71"/>
      <c r="J28" s="71"/>
    </row>
    <row r="29" spans="2:10" x14ac:dyDescent="0.25">
      <c r="B29" s="299" t="s">
        <v>289</v>
      </c>
      <c r="C29" s="71"/>
      <c r="D29" s="71"/>
      <c r="E29" s="71"/>
      <c r="F29" s="71"/>
      <c r="G29" s="71"/>
      <c r="H29" s="71"/>
      <c r="I29" s="71"/>
      <c r="J29" s="71"/>
    </row>
    <row r="30" spans="2:10" x14ac:dyDescent="0.25">
      <c r="B30" s="299"/>
      <c r="C30" s="71"/>
      <c r="D30" s="71"/>
      <c r="E30" s="71"/>
      <c r="F30" s="71"/>
      <c r="G30" s="71"/>
      <c r="H30" s="71"/>
      <c r="I30" s="71"/>
      <c r="J30" s="71"/>
    </row>
    <row r="31" spans="2:10" x14ac:dyDescent="0.25">
      <c r="B31" s="299"/>
      <c r="C31" s="71"/>
      <c r="D31" s="71"/>
      <c r="E31" s="71"/>
      <c r="F31" s="71"/>
      <c r="G31" s="71"/>
      <c r="H31" s="71"/>
      <c r="I31" s="71"/>
      <c r="J31" s="71"/>
    </row>
    <row r="32" spans="2:10" x14ac:dyDescent="0.25">
      <c r="B32" s="71" t="s">
        <v>270</v>
      </c>
      <c r="C32" s="71"/>
      <c r="D32" s="71"/>
      <c r="E32" s="71"/>
      <c r="F32" s="71"/>
      <c r="G32" s="71"/>
      <c r="H32" s="71"/>
      <c r="I32" s="71"/>
      <c r="J32" s="71"/>
    </row>
    <row r="34" spans="2:5" x14ac:dyDescent="0.25">
      <c r="B34" s="30" t="s">
        <v>291</v>
      </c>
    </row>
    <row r="35" spans="2:5" x14ac:dyDescent="0.25">
      <c r="B35" s="30" t="s">
        <v>292</v>
      </c>
    </row>
    <row r="36" spans="2:5" ht="30" x14ac:dyDescent="0.25">
      <c r="B36" s="72" t="s">
        <v>282</v>
      </c>
      <c r="C36" s="71"/>
    </row>
    <row r="37" spans="2:5" x14ac:dyDescent="0.25">
      <c r="B37" s="30" t="s">
        <v>293</v>
      </c>
      <c r="E37" s="162"/>
    </row>
    <row r="40" spans="2:5" x14ac:dyDescent="0.25">
      <c r="B40" s="30" t="s">
        <v>294</v>
      </c>
    </row>
    <row r="41" spans="2:5" x14ac:dyDescent="0.25">
      <c r="D41" s="162"/>
    </row>
  </sheetData>
  <mergeCells count="1">
    <mergeCell ref="B29:B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A6" sqref="A6:G16"/>
    </sheetView>
  </sheetViews>
  <sheetFormatPr defaultRowHeight="15" x14ac:dyDescent="0.25"/>
  <cols>
    <col min="1" max="1" width="38" style="163" customWidth="1"/>
    <col min="2" max="2" width="14.28515625" style="163" customWidth="1"/>
    <col min="3" max="3" width="18.7109375" style="163" customWidth="1"/>
    <col min="4" max="5" width="22.5703125" style="163" customWidth="1"/>
    <col min="6" max="6" width="8" style="163" customWidth="1"/>
  </cols>
  <sheetData>
    <row r="1" spans="1:6" x14ac:dyDescent="0.25">
      <c r="F1" s="163" t="s">
        <v>260</v>
      </c>
    </row>
    <row r="2" spans="1:6" x14ac:dyDescent="0.25">
      <c r="A2" s="165">
        <v>1.8210101130011001E+19</v>
      </c>
      <c r="B2" s="299" t="s">
        <v>261</v>
      </c>
      <c r="C2" s="299"/>
      <c r="D2" s="299"/>
      <c r="E2" s="166"/>
    </row>
    <row r="3" spans="1:6" x14ac:dyDescent="0.25">
      <c r="A3" s="299" t="s">
        <v>266</v>
      </c>
      <c r="B3" s="299" t="s">
        <v>262</v>
      </c>
      <c r="C3" s="299" t="s">
        <v>263</v>
      </c>
      <c r="D3" s="299" t="s">
        <v>264</v>
      </c>
      <c r="E3" s="299" t="s">
        <v>265</v>
      </c>
    </row>
    <row r="4" spans="1:6" x14ac:dyDescent="0.25">
      <c r="A4" s="299"/>
      <c r="B4" s="299"/>
      <c r="C4" s="299"/>
      <c r="D4" s="299"/>
      <c r="E4" s="299"/>
    </row>
    <row r="5" spans="1:6" x14ac:dyDescent="0.25">
      <c r="A5" s="299"/>
      <c r="B5" s="299"/>
      <c r="C5" s="299"/>
      <c r="D5" s="299"/>
      <c r="E5" s="299"/>
    </row>
    <row r="6" spans="1:6" x14ac:dyDescent="0.25">
      <c r="A6" s="167"/>
      <c r="B6" s="60"/>
      <c r="C6" s="60"/>
      <c r="D6" s="60"/>
      <c r="E6" s="60"/>
    </row>
    <row r="7" spans="1:6" x14ac:dyDescent="0.25">
      <c r="A7" s="168"/>
      <c r="B7" s="60"/>
      <c r="C7" s="60"/>
      <c r="D7" s="60"/>
      <c r="E7" s="60"/>
    </row>
    <row r="8" spans="1:6" x14ac:dyDescent="0.25">
      <c r="A8" s="169"/>
      <c r="B8" s="169"/>
      <c r="C8" s="169"/>
      <c r="D8" s="169"/>
      <c r="E8" s="169"/>
    </row>
    <row r="9" spans="1:6" x14ac:dyDescent="0.25">
      <c r="A9" s="170"/>
      <c r="B9" s="71"/>
      <c r="C9" s="71"/>
      <c r="D9" s="71"/>
      <c r="E9" s="71"/>
    </row>
    <row r="10" spans="1:6" x14ac:dyDescent="0.25">
      <c r="A10" s="168"/>
      <c r="B10" s="169"/>
      <c r="C10" s="169"/>
      <c r="D10" s="169"/>
      <c r="E10" s="169"/>
    </row>
    <row r="13" spans="1:6" x14ac:dyDescent="0.25">
      <c r="A13" s="30"/>
      <c r="B13" s="169"/>
      <c r="C13" s="169"/>
      <c r="D13" s="169"/>
      <c r="E13" s="169"/>
    </row>
    <row r="15" spans="1:6" x14ac:dyDescent="0.25">
      <c r="B15" s="30"/>
      <c r="C15" s="30"/>
      <c r="D15" s="30"/>
      <c r="E15" s="30"/>
    </row>
    <row r="16" spans="1:6" x14ac:dyDescent="0.25">
      <c r="B16" s="30"/>
      <c r="C16" s="30"/>
      <c r="D16" s="30"/>
      <c r="E16" s="30"/>
    </row>
  </sheetData>
  <mergeCells count="6">
    <mergeCell ref="E3:E5"/>
    <mergeCell ref="B2:D2"/>
    <mergeCell ref="A3:A5"/>
    <mergeCell ref="B3:B5"/>
    <mergeCell ref="C3:C5"/>
    <mergeCell ref="D3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 2023 5-ПМ_15.05 с КГН</vt:lpstr>
      <vt:lpstr>1821010113001</vt:lpstr>
      <vt:lpstr>ПЕРЕПЛАТА</vt:lpstr>
      <vt:lpstr>КГН на 01.08.2023</vt:lpstr>
      <vt:lpstr>' 2023 5-ПМ_15.05 с КГН'!Область_печати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Елена Сергеевна</dc:creator>
  <cp:lastModifiedBy>Дубровина Светлана Леонидовна</cp:lastModifiedBy>
  <cp:lastPrinted>2024-11-07T08:09:02Z</cp:lastPrinted>
  <dcterms:created xsi:type="dcterms:W3CDTF">2016-10-07T07:00:34Z</dcterms:created>
  <dcterms:modified xsi:type="dcterms:W3CDTF">2024-11-07T08:10:55Z</dcterms:modified>
</cp:coreProperties>
</file>